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0" windowWidth="15480" windowHeight="10995" activeTab="0"/>
  </bookViews>
  <sheets>
    <sheet name="Revised FMR  (CONSOLIDATED)" sheetId="1" r:id="rId1"/>
  </sheets>
  <definedNames>
    <definedName name="_xlnm.Print_Titles" localSheetId="0">'Revised FMR  (CONSOLIDATED)'!$8:$12</definedName>
  </definedNames>
  <calcPr fullCalcOnLoad="1"/>
</workbook>
</file>

<file path=xl/sharedStrings.xml><?xml version="1.0" encoding="utf-8"?>
<sst xmlns="http://schemas.openxmlformats.org/spreadsheetml/2006/main" count="1129" uniqueCount="1026">
  <si>
    <t>Format of Financial Management Report to be submitted by the States/UT Health/RCH Societies to Centre on Quarterly basis</t>
  </si>
  <si>
    <t>National Rural Health Mission (including NDCPs)</t>
  </si>
  <si>
    <t>S.
NO</t>
  </si>
  <si>
    <t>STRATEGY/ACTIVITIES</t>
  </si>
  <si>
    <t>Reporting Quarter</t>
  </si>
  <si>
    <t>Year to Quarter (Cumulative)</t>
  </si>
  <si>
    <t>Physical Progress</t>
  </si>
  <si>
    <t>Unit of Measure</t>
  </si>
  <si>
    <t>Variance %</t>
  </si>
  <si>
    <t>Budget Allotted as per PIP</t>
  </si>
  <si>
    <t xml:space="preserve">Actual Expenditure </t>
  </si>
  <si>
    <t>Actual Expenditure</t>
  </si>
  <si>
    <t>(1)</t>
  </si>
  <si>
    <t>(2)</t>
  </si>
  <si>
    <t>(3)</t>
  </si>
  <si>
    <t>(4)</t>
  </si>
  <si>
    <t>(5)</t>
  </si>
  <si>
    <t>(6)</t>
  </si>
  <si>
    <t>(7)</t>
  </si>
  <si>
    <t>(8)</t>
  </si>
  <si>
    <t>(9)</t>
  </si>
  <si>
    <t>(10)</t>
  </si>
  <si>
    <t>(11)</t>
  </si>
  <si>
    <t>(12)</t>
  </si>
  <si>
    <t>(13)</t>
  </si>
  <si>
    <t>(14)</t>
  </si>
  <si>
    <t>A</t>
  </si>
  <si>
    <t>RCH - TECHNICAL STRATEGIES &amp; ACTIVITIES (RCH Flexible Pool)</t>
  </si>
  <si>
    <t>A.1</t>
  </si>
  <si>
    <t>MATERNAL HEALTH</t>
  </si>
  <si>
    <t>A.1.1</t>
  </si>
  <si>
    <t>Operationalise facilities (only dissemination, monitoring, and  quality)</t>
  </si>
  <si>
    <t>A.1.1.1</t>
  </si>
  <si>
    <t>Operationalise FRUs</t>
  </si>
  <si>
    <t>A.1.1.2</t>
  </si>
  <si>
    <t>A.1.1.3</t>
  </si>
  <si>
    <t>A.1.1.4</t>
  </si>
  <si>
    <t>A.1.1.5</t>
  </si>
  <si>
    <t>Operationalise Sub-centres</t>
  </si>
  <si>
    <t>A.1.2</t>
  </si>
  <si>
    <t>Referral Transport</t>
  </si>
  <si>
    <t>A.1.3</t>
  </si>
  <si>
    <t xml:space="preserve">Integrated  outreach RCH services </t>
  </si>
  <si>
    <t>A.1.3.1</t>
  </si>
  <si>
    <t>RCH Outreach Camps</t>
  </si>
  <si>
    <t>A.1.3.2</t>
  </si>
  <si>
    <t>Monthly Village Health and Nutrition Days</t>
  </si>
  <si>
    <t>A.1.4</t>
  </si>
  <si>
    <t>Janani Suraksha Yojana / JSY</t>
  </si>
  <si>
    <t>A.1.4.1</t>
  </si>
  <si>
    <t>Home Deliveries</t>
  </si>
  <si>
    <t>A.1.4.2</t>
  </si>
  <si>
    <t>A.2</t>
  </si>
  <si>
    <t>CHILD HEALTH</t>
  </si>
  <si>
    <t>A.2.1</t>
  </si>
  <si>
    <t>A.2.2</t>
  </si>
  <si>
    <t xml:space="preserve">Facility Based Newborn Care/FBNC </t>
  </si>
  <si>
    <t>A.2.3</t>
  </si>
  <si>
    <t>Home Based Newborn Care/HBNC</t>
  </si>
  <si>
    <t>A.2.4</t>
  </si>
  <si>
    <t>School Health Programme</t>
  </si>
  <si>
    <t>A.2.5</t>
  </si>
  <si>
    <t>Infant and Young Child Feeding/IYCF</t>
  </si>
  <si>
    <t>A.2.6</t>
  </si>
  <si>
    <t>Care of Sick Children and Severe Malnutrition</t>
  </si>
  <si>
    <t>A.2.7</t>
  </si>
  <si>
    <t>A.2.8</t>
  </si>
  <si>
    <t>Other strategies/activities</t>
  </si>
  <si>
    <t>A.3</t>
  </si>
  <si>
    <t>FAMILY PLANNING</t>
  </si>
  <si>
    <t>A.3.1</t>
  </si>
  <si>
    <t>Terminal/Limiting Methods</t>
  </si>
  <si>
    <t>A.3.1.1</t>
  </si>
  <si>
    <t>Dissemination of manuals on sterilisation standards &amp; quality assurance of sterilisation services</t>
  </si>
  <si>
    <t>A.3.1.2</t>
  </si>
  <si>
    <t>Female Sterilisation camps</t>
  </si>
  <si>
    <t>A.3.1.3</t>
  </si>
  <si>
    <t>NSV camps</t>
  </si>
  <si>
    <t>A.3.1.4</t>
  </si>
  <si>
    <t>Compensation for female sterilisation</t>
  </si>
  <si>
    <t>A.3.1.5</t>
  </si>
  <si>
    <t>Compensation for male sterilisation</t>
  </si>
  <si>
    <t>A.3.1.6</t>
  </si>
  <si>
    <t>Accreditation of private providers for sterilisation services</t>
  </si>
  <si>
    <t>A.3.2</t>
  </si>
  <si>
    <t>Spacing Methods</t>
  </si>
  <si>
    <t>A.3.2.1</t>
  </si>
  <si>
    <t>IUD camps</t>
  </si>
  <si>
    <t>A.3.2.2</t>
  </si>
  <si>
    <t xml:space="preserve">IUD services at health facilities </t>
  </si>
  <si>
    <t>A.3.2.3</t>
  </si>
  <si>
    <t>A.3.2.4</t>
  </si>
  <si>
    <t>Social Marketing of contraceptives</t>
  </si>
  <si>
    <t>A.3.2.5</t>
  </si>
  <si>
    <t>Contraceptive Update seminars</t>
  </si>
  <si>
    <t>A.3.3</t>
  </si>
  <si>
    <t>A.3.4</t>
  </si>
  <si>
    <t>A.4</t>
  </si>
  <si>
    <t>A.4.1</t>
  </si>
  <si>
    <t>Adolescent services at health facilities.</t>
  </si>
  <si>
    <t>A.4.2</t>
  </si>
  <si>
    <t>A.5</t>
  </si>
  <si>
    <t>URBAN RCH</t>
  </si>
  <si>
    <t>A.6</t>
  </si>
  <si>
    <t>TRIBAL RCH</t>
  </si>
  <si>
    <t>A.7</t>
  </si>
  <si>
    <t>A.8</t>
  </si>
  <si>
    <t>Public Private Partnerships</t>
  </si>
  <si>
    <t>A.9</t>
  </si>
  <si>
    <t>A.9.1</t>
  </si>
  <si>
    <t>A.9.2</t>
  </si>
  <si>
    <t>Minor civil works</t>
  </si>
  <si>
    <t>A.10</t>
  </si>
  <si>
    <t>A.10.1</t>
  </si>
  <si>
    <t>A.10.2</t>
  </si>
  <si>
    <t>Logistics management/ improvement</t>
  </si>
  <si>
    <t>A.10.3</t>
  </si>
  <si>
    <t>A.10.4</t>
  </si>
  <si>
    <t>Sub Centre Rent and Contingencies</t>
  </si>
  <si>
    <t>TRAINING</t>
  </si>
  <si>
    <t>Strengthening of Training Institutions</t>
  </si>
  <si>
    <t>Development of training packages</t>
  </si>
  <si>
    <t>Maternal Health Training</t>
  </si>
  <si>
    <t>Skilled Birth Attendance  / SBA</t>
  </si>
  <si>
    <t>EmOC Training</t>
  </si>
  <si>
    <t xml:space="preserve">MTP training </t>
  </si>
  <si>
    <t>RTI / STI Training</t>
  </si>
  <si>
    <t>Child Health Training</t>
  </si>
  <si>
    <t xml:space="preserve">IMNCI </t>
  </si>
  <si>
    <t>Home Based Newborn Care</t>
  </si>
  <si>
    <t>Care of Sick Children and severe malnutrition</t>
  </si>
  <si>
    <t>Other CH Training (pl. specify)</t>
  </si>
  <si>
    <t>Family Planning Training</t>
  </si>
  <si>
    <t>Laparoscopic Sterilisation Training</t>
  </si>
  <si>
    <t>NSV Training</t>
  </si>
  <si>
    <t>IUD Insertion Training</t>
  </si>
  <si>
    <t>Contraceptive Update/ISD Training</t>
  </si>
  <si>
    <t>Other FP Training (pl. specify)</t>
  </si>
  <si>
    <t>ARSH Training</t>
  </si>
  <si>
    <t>Programme Management Training</t>
  </si>
  <si>
    <t>SPMU Training</t>
  </si>
  <si>
    <t>DPMU Training</t>
  </si>
  <si>
    <t>Strengthening of BCC/IEC Bureaus             (state and district levels)</t>
  </si>
  <si>
    <t>Development of State BCC/IEC strategy</t>
  </si>
  <si>
    <t xml:space="preserve">Implementation of BCC/IEC strategy </t>
  </si>
  <si>
    <t>BCC/IEC activities for MH</t>
  </si>
  <si>
    <t>BCC/IEC activities for CH</t>
  </si>
  <si>
    <t>BCC/IEC activities for FP</t>
  </si>
  <si>
    <t>BCC/IEC activities for ARSH</t>
  </si>
  <si>
    <t>Other activities (please specify)</t>
  </si>
  <si>
    <t>PROCUREMENT</t>
  </si>
  <si>
    <t xml:space="preserve">Procurement of Equipment </t>
  </si>
  <si>
    <t>Procurement of equipment:  MH</t>
  </si>
  <si>
    <t>Procurement of equipment:  CH</t>
  </si>
  <si>
    <t>Procurement of equipment:  FP</t>
  </si>
  <si>
    <t>Procurement of equipment:  IMEP</t>
  </si>
  <si>
    <t>Drugs &amp; supplies for MH</t>
  </si>
  <si>
    <t>Drugs &amp; supplies for CH</t>
  </si>
  <si>
    <t>Drugs &amp; supplies for FP</t>
  </si>
  <si>
    <t>Supplies for IMEP</t>
  </si>
  <si>
    <t>General drugs &amp; supplies for health facilities</t>
  </si>
  <si>
    <t>B</t>
  </si>
  <si>
    <t>B1</t>
  </si>
  <si>
    <t>ASHA</t>
  </si>
  <si>
    <t>Selection &amp; Training of ASHA</t>
  </si>
  <si>
    <t>Procurement of ASHA Drug Kit</t>
  </si>
  <si>
    <t>B2</t>
  </si>
  <si>
    <t>Untied Funds</t>
  </si>
  <si>
    <t>B2.1</t>
  </si>
  <si>
    <t>Untied Fund for CHCs</t>
  </si>
  <si>
    <t>B2.2</t>
  </si>
  <si>
    <t>Untied Fund for PHCs</t>
  </si>
  <si>
    <t>B2.3</t>
  </si>
  <si>
    <t>B2.4</t>
  </si>
  <si>
    <t>Untied fund for VHSC</t>
  </si>
  <si>
    <t xml:space="preserve">Hospital Strengthening </t>
  </si>
  <si>
    <t xml:space="preserve">District Hospitals </t>
  </si>
  <si>
    <t>CHCs</t>
  </si>
  <si>
    <t>PHCs</t>
  </si>
  <si>
    <t>Others</t>
  </si>
  <si>
    <t>Annual Maintenance Grants</t>
  </si>
  <si>
    <t>B5</t>
  </si>
  <si>
    <t>B5.1</t>
  </si>
  <si>
    <t>B5.2</t>
  </si>
  <si>
    <t>B5.3</t>
  </si>
  <si>
    <t>B5.4</t>
  </si>
  <si>
    <t>Setting up Infrastructure wing for Civil works</t>
  </si>
  <si>
    <t>B5.5</t>
  </si>
  <si>
    <t>Govt. Dispensaries/ others renovations</t>
  </si>
  <si>
    <t>B5.6</t>
  </si>
  <si>
    <t>Corpus Grants to HMS/RKS</t>
  </si>
  <si>
    <t>B6.1</t>
  </si>
  <si>
    <t>District Hospitals</t>
  </si>
  <si>
    <t>B6.2</t>
  </si>
  <si>
    <t>B6.3</t>
  </si>
  <si>
    <t>B6.4</t>
  </si>
  <si>
    <t>Other or if not bifurcated as above</t>
  </si>
  <si>
    <t>B7</t>
  </si>
  <si>
    <t>District Action Plans (Including Block, Village)</t>
  </si>
  <si>
    <t>B8</t>
  </si>
  <si>
    <t>B8.1</t>
  </si>
  <si>
    <t>Constitution and Orientation of Community leader &amp; of VHSC,SHC,PHC,CHC etc</t>
  </si>
  <si>
    <t>B8.2</t>
  </si>
  <si>
    <t>Orientation Workshops, Trainings and capacity building of PRI at State/Dist. Health Societies, CHC,PHC</t>
  </si>
  <si>
    <t>B8.3</t>
  </si>
  <si>
    <t>B9</t>
  </si>
  <si>
    <t>Mainstreaming of AYUSH</t>
  </si>
  <si>
    <t>B10</t>
  </si>
  <si>
    <t>IEC-BCC NRHM</t>
  </si>
  <si>
    <t>Health Mela</t>
  </si>
  <si>
    <t>Creating awareness on declining sex ratio issue</t>
  </si>
  <si>
    <t>Other activities</t>
  </si>
  <si>
    <t>B11</t>
  </si>
  <si>
    <t>Mobile Medical Units (Including recurring expenditures)</t>
  </si>
  <si>
    <t>B12</t>
  </si>
  <si>
    <t>B12.1</t>
  </si>
  <si>
    <t>B12.2</t>
  </si>
  <si>
    <t>Operating Cost (POL)</t>
  </si>
  <si>
    <t>B14</t>
  </si>
  <si>
    <t>B15</t>
  </si>
  <si>
    <t>PPP/ NGOs</t>
  </si>
  <si>
    <t>B15.1</t>
  </si>
  <si>
    <t>Non governmental providers of health care RMPs/TBAs</t>
  </si>
  <si>
    <t>B15.2</t>
  </si>
  <si>
    <t>Training</t>
  </si>
  <si>
    <t>B16.1</t>
  </si>
  <si>
    <t>Other training and capacity building programmes</t>
  </si>
  <si>
    <t>Planning, Implementation and Monitoring</t>
  </si>
  <si>
    <t>Community Monitoring (Visioning workshops at state, Dist, Block level)</t>
  </si>
  <si>
    <t>State level</t>
  </si>
  <si>
    <t>District level</t>
  </si>
  <si>
    <t xml:space="preserve">Block level </t>
  </si>
  <si>
    <t xml:space="preserve">Other </t>
  </si>
  <si>
    <t>Quality Assurance</t>
  </si>
  <si>
    <t>Monitoring and Evaluation</t>
  </si>
  <si>
    <t>Computerization HMIS and e-governance, e-health</t>
  </si>
  <si>
    <t>PNDT Activities</t>
  </si>
  <si>
    <t>Regional drugs warehouses</t>
  </si>
  <si>
    <t>B22</t>
  </si>
  <si>
    <t>Health Insurance Scheme</t>
  </si>
  <si>
    <t>Research, Studies, Analysis</t>
  </si>
  <si>
    <t>Support Services</t>
  </si>
  <si>
    <t>Support Strengthening NPCB</t>
  </si>
  <si>
    <t>Support Strengthening Midwifery Services under medical services</t>
  </si>
  <si>
    <t>Support Strengthening RNTCP</t>
  </si>
  <si>
    <t>Contingency support to Govt. dispensaries</t>
  </si>
  <si>
    <t>Audit Fees</t>
  </si>
  <si>
    <t>Concurrent Audit system</t>
  </si>
  <si>
    <t>C</t>
  </si>
  <si>
    <t>IMMUNISATION</t>
  </si>
  <si>
    <t>C.1</t>
  </si>
  <si>
    <t>RI strengthening project (Review meeting, Mobility support, Outreach services etc)</t>
  </si>
  <si>
    <t>C.2</t>
  </si>
  <si>
    <t xml:space="preserve">Cold chain maintenance </t>
  </si>
  <si>
    <t>C.3</t>
  </si>
  <si>
    <t>Pulse Polio operating costs</t>
  </si>
  <si>
    <t>D</t>
  </si>
  <si>
    <t>IDD</t>
  </si>
  <si>
    <t>E</t>
  </si>
  <si>
    <t>IDSP</t>
  </si>
  <si>
    <t>E.1</t>
  </si>
  <si>
    <t>E.2</t>
  </si>
  <si>
    <t>E.3</t>
  </si>
  <si>
    <t>E.4</t>
  </si>
  <si>
    <t>E.5</t>
  </si>
  <si>
    <t>E.6</t>
  </si>
  <si>
    <t>E.7</t>
  </si>
  <si>
    <t>E.8</t>
  </si>
  <si>
    <t>Operational Cost</t>
  </si>
  <si>
    <t>F</t>
  </si>
  <si>
    <t>NVBDCP</t>
  </si>
  <si>
    <t>G</t>
  </si>
  <si>
    <t>NLEP</t>
  </si>
  <si>
    <t>H</t>
  </si>
  <si>
    <t>H.1.4</t>
  </si>
  <si>
    <t>H.1.6</t>
  </si>
  <si>
    <t>H.1.7</t>
  </si>
  <si>
    <t>H.2</t>
  </si>
  <si>
    <t>H.2.3</t>
  </si>
  <si>
    <t>H.2.4</t>
  </si>
  <si>
    <t>H.3</t>
  </si>
  <si>
    <t>H.3.1</t>
  </si>
  <si>
    <t>H.3.2</t>
  </si>
  <si>
    <t>I</t>
  </si>
  <si>
    <t>RNTCP</t>
  </si>
  <si>
    <t>I.1</t>
  </si>
  <si>
    <t>I.2</t>
  </si>
  <si>
    <t>I.4</t>
  </si>
  <si>
    <t>I.5</t>
  </si>
  <si>
    <t>Equipment maintenance</t>
  </si>
  <si>
    <t>I.6</t>
  </si>
  <si>
    <t>I.7</t>
  </si>
  <si>
    <t>I.8</t>
  </si>
  <si>
    <t>I.9</t>
  </si>
  <si>
    <t>I.10</t>
  </si>
  <si>
    <t>I.11</t>
  </si>
  <si>
    <t>Miscellaneous</t>
  </si>
  <si>
    <t>I.12</t>
  </si>
  <si>
    <t>I.13</t>
  </si>
  <si>
    <t>Printing</t>
  </si>
  <si>
    <t>I.14</t>
  </si>
  <si>
    <t>I.15</t>
  </si>
  <si>
    <t>I.16</t>
  </si>
  <si>
    <t>I.17</t>
  </si>
  <si>
    <t>GT</t>
  </si>
  <si>
    <t>Grand Total (A+B+C+D+E+F+G+H+I)</t>
  </si>
  <si>
    <t>Certified that the above amount of expenditure is duly reconciled with the amount recorded in the relevant ledger heads.</t>
  </si>
  <si>
    <t>POL for Family Planning</t>
  </si>
  <si>
    <t>Repairs of Laparoscopes</t>
  </si>
  <si>
    <t>Additional Allowances/ Incentives to M.O.s of  PHCs and CHCs</t>
  </si>
  <si>
    <t>Other Incentives Schemes (Pl.Specify)</t>
  </si>
  <si>
    <t>Strengthening of SHS /SPMU (Including HR, Management Cost, Mobility Support  )</t>
  </si>
  <si>
    <t>B.3</t>
  </si>
  <si>
    <t>B.4</t>
  </si>
  <si>
    <t>B.4.1</t>
  </si>
  <si>
    <t>B4.1.1</t>
  </si>
  <si>
    <t>B4.1.2</t>
  </si>
  <si>
    <t>B4.1.3</t>
  </si>
  <si>
    <t>B4.1.4</t>
  </si>
  <si>
    <t>B4.1.5</t>
  </si>
  <si>
    <t>B 4.2</t>
  </si>
  <si>
    <t>B.4.3</t>
  </si>
  <si>
    <t>B.4.4</t>
  </si>
  <si>
    <t>B.5.7</t>
  </si>
  <si>
    <t>B.5.8</t>
  </si>
  <si>
    <t>B.5.9</t>
  </si>
  <si>
    <t>B.6</t>
  </si>
  <si>
    <t>B.10</t>
  </si>
  <si>
    <t>B.10.1</t>
  </si>
  <si>
    <t>B.10.2</t>
  </si>
  <si>
    <t>B.10.4</t>
  </si>
  <si>
    <t>B.10.2.1</t>
  </si>
  <si>
    <t>B.10.2.2</t>
  </si>
  <si>
    <t>B.10.2.3</t>
  </si>
  <si>
    <t>B.10.2.4</t>
  </si>
  <si>
    <t>B.10.5</t>
  </si>
  <si>
    <t>Ambulance/ EMRI</t>
  </si>
  <si>
    <t xml:space="preserve">Procurement of Others </t>
  </si>
  <si>
    <t>B15.1.1</t>
  </si>
  <si>
    <t>B15.1.2</t>
  </si>
  <si>
    <t>B15.1.3</t>
  </si>
  <si>
    <t>B15.1.4</t>
  </si>
  <si>
    <t>B15.3</t>
  </si>
  <si>
    <t>B15.3.1</t>
  </si>
  <si>
    <t>B15.3.2</t>
  </si>
  <si>
    <t>B15.3.3</t>
  </si>
  <si>
    <t>B.16</t>
  </si>
  <si>
    <t>B16.1.1</t>
  </si>
  <si>
    <t>B16.1.2</t>
  </si>
  <si>
    <t>B16.1.3</t>
  </si>
  <si>
    <t>B16.1.4</t>
  </si>
  <si>
    <t>B16.1.5</t>
  </si>
  <si>
    <t>B.16.2</t>
  </si>
  <si>
    <t>B.16.2.1</t>
  </si>
  <si>
    <t>B.16.2.2</t>
  </si>
  <si>
    <t>B.16.2.3</t>
  </si>
  <si>
    <t>B.16.2.4</t>
  </si>
  <si>
    <t>B.16.2.5</t>
  </si>
  <si>
    <t>B.17</t>
  </si>
  <si>
    <t>B.18</t>
  </si>
  <si>
    <t>B.19</t>
  </si>
  <si>
    <t>B.20</t>
  </si>
  <si>
    <t>B.21</t>
  </si>
  <si>
    <t>NGO Programme/ Grant in Aid to NGO</t>
  </si>
  <si>
    <t>Salary of Contractual Staffs</t>
  </si>
  <si>
    <t xml:space="preserve">Medical Officers at CHCs / PHCs </t>
  </si>
  <si>
    <t>ANMs,Supervisory Nurses, LHVs,</t>
  </si>
  <si>
    <t>Laboratory Technicians,MPWs</t>
  </si>
  <si>
    <t>PHNs at CHC, PHC level</t>
  </si>
  <si>
    <t>Contractual Staff &amp; Services(Excluding AYUSH)</t>
  </si>
  <si>
    <t>Incentive/ Awards etc. to SN, ANMs etc.</t>
  </si>
  <si>
    <t>Others - Computer Assistants/ BCC Co-ordinator etc</t>
  </si>
  <si>
    <t>Human Resources Development (Other than above)</t>
  </si>
  <si>
    <t>A.10.5</t>
  </si>
  <si>
    <t>A.10.6</t>
  </si>
  <si>
    <t>A.10.7</t>
  </si>
  <si>
    <t>Strengthening (Others)</t>
  </si>
  <si>
    <t>Training of AMNs,Staff nurses,AWW,AWS</t>
  </si>
  <si>
    <t>Other NDCP Support Programmes</t>
  </si>
  <si>
    <t>Support Strengthening NVBDCP</t>
  </si>
  <si>
    <t>B.10.2.5</t>
  </si>
  <si>
    <t>INFRASTRUCTURE (MINOR CIVIL WORKS) &amp; HUMAN RESOURCES</t>
  </si>
  <si>
    <t>C.4</t>
  </si>
  <si>
    <t>Training under Immunisation</t>
  </si>
  <si>
    <t>A.2.9</t>
  </si>
  <si>
    <t>Infant Death Audit</t>
  </si>
  <si>
    <t>Other Activities (Excluding HR)</t>
  </si>
  <si>
    <t>Management of Diarrhoea, ARI and Micronutrient Malnutrition</t>
  </si>
  <si>
    <t>Specialists (Anaesthetists, Paediatricians, Ob/Gyn, Surgeons, Physicians, Dental Surgeons, Radiologist, Sonologist, Pathologist, Specialist for CHC )</t>
  </si>
  <si>
    <t>Establishment of IDD Control Cell</t>
  </si>
  <si>
    <t>Establishment of IDD Monitoring Lab</t>
  </si>
  <si>
    <t>Health Education and Publicity</t>
  </si>
  <si>
    <t>IDD Surveys/Re-surveys</t>
  </si>
  <si>
    <t>D.1</t>
  </si>
  <si>
    <t>D.2</t>
  </si>
  <si>
    <t>D.3</t>
  </si>
  <si>
    <t>D.4</t>
  </si>
  <si>
    <t>Malaria</t>
  </si>
  <si>
    <t>BCC/IEC</t>
  </si>
  <si>
    <t>Material &amp; Supplies</t>
  </si>
  <si>
    <t>Medical Colleges</t>
  </si>
  <si>
    <t>F.1</t>
  </si>
  <si>
    <t>F.2</t>
  </si>
  <si>
    <t>F.3</t>
  </si>
  <si>
    <t>F.4</t>
  </si>
  <si>
    <t>F.5</t>
  </si>
  <si>
    <t>F.3.a</t>
  </si>
  <si>
    <t>F.3.b</t>
  </si>
  <si>
    <t>F.3.c</t>
  </si>
  <si>
    <t>F.3.d</t>
  </si>
  <si>
    <t>F.3.f</t>
  </si>
  <si>
    <t>D.1.a</t>
  </si>
  <si>
    <t>D.1.b</t>
  </si>
  <si>
    <t>D.1.c</t>
  </si>
  <si>
    <t>D.2.a</t>
  </si>
  <si>
    <t>D.2.b</t>
  </si>
  <si>
    <t>NOTES: (1)  The total budget and in Col. 1 and Exp planned as per AWP in Col 2 may be indicated as approved by GOI. (2) In case there are overlapping activities (i.e., expenditure may be comprising one or more component (s), it can be shown under the item where the major chunk of it has taken place.  (3) Budget and expenditure under Others &amp; Misc. expenditure may be specified in case the amounts are material (say, exceeding 3% of the total budget of the State Society.   (4)  Under Operationalization of Facilities (FRUs, 24x7 PHCs etc), only dissemination, monitoring and quality may be booked under A.1.1, while procurement of equipments, drugs, civil work and personnel cost may be booked under the relevant functional head as shown in FMR below. (5) Reasons for major variations need to be enclosed with this FMR.  (6) Col. for 'Actual Expenditure for the Quarter' should tally with Fund Position Statement)</t>
  </si>
  <si>
    <r>
      <t xml:space="preserve"> </t>
    </r>
    <r>
      <rPr>
        <sz val="12"/>
        <color indexed="8"/>
        <rFont val="Arial"/>
        <family val="2"/>
      </rPr>
      <t>Operationalise 24x7 PHCs</t>
    </r>
  </si>
  <si>
    <r>
      <t xml:space="preserve"> </t>
    </r>
    <r>
      <rPr>
        <sz val="12"/>
        <color indexed="8"/>
        <rFont val="Arial"/>
        <family val="2"/>
      </rPr>
      <t>MTP services at health facilities</t>
    </r>
  </si>
  <si>
    <r>
      <t xml:space="preserve"> </t>
    </r>
    <r>
      <rPr>
        <sz val="12"/>
        <color indexed="8"/>
        <rFont val="Arial"/>
        <family val="2"/>
      </rPr>
      <t>RTI/STI services at health facilities</t>
    </r>
  </si>
  <si>
    <r>
      <t xml:space="preserve"> </t>
    </r>
    <r>
      <rPr>
        <sz val="12"/>
        <rFont val="Arial"/>
        <family val="2"/>
      </rPr>
      <t>IMNCI</t>
    </r>
  </si>
  <si>
    <r>
      <t xml:space="preserve"> </t>
    </r>
    <r>
      <rPr>
        <sz val="12"/>
        <rFont val="Arial"/>
        <family val="2"/>
      </rPr>
      <t>Accreditation of private providers for IUD insertion services</t>
    </r>
  </si>
  <si>
    <r>
      <t xml:space="preserve"> </t>
    </r>
    <r>
      <rPr>
        <b/>
        <sz val="12"/>
        <color indexed="8"/>
        <rFont val="Arial"/>
        <family val="2"/>
      </rPr>
      <t>IMEP Training</t>
    </r>
  </si>
  <si>
    <r>
      <t xml:space="preserve"> </t>
    </r>
    <r>
      <rPr>
        <b/>
        <sz val="12"/>
        <rFont val="Arial"/>
        <family val="2"/>
      </rPr>
      <t>Procurement of Drugs and supplies</t>
    </r>
  </si>
  <si>
    <t>ASHA Cost:</t>
  </si>
  <si>
    <t>B1.1.2</t>
  </si>
  <si>
    <t>B1.1.1</t>
  </si>
  <si>
    <t>B1.1.3</t>
  </si>
  <si>
    <t>State Finance Manager/ State Accounts Manager</t>
  </si>
  <si>
    <t>Monitoring/Supervision and Rapid Response</t>
  </si>
  <si>
    <t xml:space="preserve"> Lab Assistant</t>
  </si>
  <si>
    <t xml:space="preserve"> Lab Technician</t>
  </si>
  <si>
    <t xml:space="preserve">LDC Typist </t>
  </si>
  <si>
    <t xml:space="preserve">Technical Officer </t>
  </si>
  <si>
    <t>Director (NRHM-Finance)</t>
  </si>
  <si>
    <t>Mission Director</t>
  </si>
  <si>
    <t xml:space="preserve"> Medical Officers at CHCs/ PHCs (Only AYUSH)</t>
  </si>
  <si>
    <t>C.5</t>
  </si>
  <si>
    <t>Minor civil works for operationalization of FRUs</t>
  </si>
  <si>
    <t>Minor civil works for operationalization of 24 hour services at PHCs</t>
  </si>
  <si>
    <t>Life saving Anaesthesia skills training</t>
  </si>
  <si>
    <t>Minilab Training</t>
  </si>
  <si>
    <t>Training (Nursing)</t>
  </si>
  <si>
    <t>Training (Other Health Personnel's)</t>
  </si>
  <si>
    <t>Promotional Trig of health workers females to lady health visitor etc.</t>
  </si>
  <si>
    <t>Strengthening of DHS/DPMU (Including HR, Management Cost, Mobility Support, Field Visits)</t>
  </si>
  <si>
    <t>Strengthening of Block PMU (Including HR, Management Cost, Mobility Support, Field Visits)</t>
  </si>
  <si>
    <t>Mobility Support, Field Visits to BMO/MO/Others</t>
  </si>
  <si>
    <t>TIME LINE ACTIVITIES - Additionalities under NRHM (Mission Flexible Pool)</t>
  </si>
  <si>
    <t>Untied Fund for Sub Centres</t>
  </si>
  <si>
    <t>Sub Centres</t>
  </si>
  <si>
    <t>Up gradation of CHCs, PHCs, Dist. Hospitals to IPHS)</t>
  </si>
  <si>
    <t>B22.1</t>
  </si>
  <si>
    <t>B22.2</t>
  </si>
  <si>
    <t>B22.3</t>
  </si>
  <si>
    <t>B22.4</t>
  </si>
  <si>
    <t>B22.5</t>
  </si>
  <si>
    <t>B22.6</t>
  </si>
  <si>
    <t>B.23</t>
  </si>
  <si>
    <t>B.9.2</t>
  </si>
  <si>
    <t>B9.3</t>
  </si>
  <si>
    <t>Maternal Death Review/Audit</t>
  </si>
  <si>
    <t>B.9.1</t>
  </si>
  <si>
    <t>Strengthening of Existing Training Institutions/Nursing School (HR)</t>
  </si>
  <si>
    <t>New Training Institutions/School (Other strengthening)</t>
  </si>
  <si>
    <t>B.5.10</t>
  </si>
  <si>
    <t>Monitoring &amp; Evaluation / HMIS /MCTS</t>
  </si>
  <si>
    <t>Target / Planned</t>
  </si>
  <si>
    <t>(Rupees in Lakhs)</t>
  </si>
  <si>
    <t>ASHA Incentive</t>
  </si>
  <si>
    <t>Total</t>
  </si>
  <si>
    <t>C.6</t>
  </si>
  <si>
    <t>ASHA Incentive paid under Routine Immunisation</t>
  </si>
  <si>
    <t>Code No.  of the respective programme</t>
  </si>
  <si>
    <t>Statement showing ASHA Incentives</t>
  </si>
  <si>
    <t>A1.4.3</t>
  </si>
  <si>
    <t>A.1.5</t>
  </si>
  <si>
    <t>Incentive to ASHA under Child Health</t>
  </si>
  <si>
    <t>A.3.5</t>
  </si>
  <si>
    <t>B-Emoc Training</t>
  </si>
  <si>
    <t xml:space="preserve">Other MH Training (Training of TBAs as a community resource, any integrated training, etc.) </t>
  </si>
  <si>
    <t>B1.1.4</t>
  </si>
  <si>
    <t>Performance Incentive/Other Incentive to ASHAs (if any)</t>
  </si>
  <si>
    <t>Awards to ASHA's/Link workers</t>
  </si>
  <si>
    <t>B.5.10.1</t>
  </si>
  <si>
    <t>B.5.10.2</t>
  </si>
  <si>
    <t>New Training Institutions/School(Other than HR</t>
  </si>
  <si>
    <t>Infrastructure of Training Institutions --</t>
  </si>
  <si>
    <t>Other Staff Nurses and Supervisory Nurses (Only AYUSH)</t>
  </si>
  <si>
    <t>Civil Works for Operationalising Infection Management &amp; Environment Plan at health facilities</t>
  </si>
  <si>
    <t>B.13</t>
  </si>
  <si>
    <t>B13.1</t>
  </si>
  <si>
    <t>B13.2</t>
  </si>
  <si>
    <t>B13.3</t>
  </si>
  <si>
    <t>Innovations( if any)</t>
  </si>
  <si>
    <t>D.5</t>
  </si>
  <si>
    <t>Supply of Salt Testing Kit (form of kind grant)</t>
  </si>
  <si>
    <t>NPCB</t>
  </si>
  <si>
    <t>H1.</t>
  </si>
  <si>
    <t>Recurring Grant-in aid</t>
  </si>
  <si>
    <t>H.1.1.</t>
  </si>
  <si>
    <t>H.1.2.</t>
  </si>
  <si>
    <t>H.1.5.</t>
  </si>
  <si>
    <t>H.1.12</t>
  </si>
  <si>
    <t>Procurement of Ophthalmic Equipment</t>
  </si>
  <si>
    <t>H.1.14</t>
  </si>
  <si>
    <t>Grant-in-aid for strengthening of 1 Distt. Hospitals.</t>
  </si>
  <si>
    <t>Grant-in-aid for strengthening of 2 Sub Divisional. Hospitals</t>
  </si>
  <si>
    <t>Non Recurring  Grant -in-Aid</t>
  </si>
  <si>
    <t>H.2.1.</t>
  </si>
  <si>
    <t>H.2.2.</t>
  </si>
  <si>
    <t xml:space="preserve">Training </t>
  </si>
  <si>
    <t>Civil works</t>
  </si>
  <si>
    <t>Laboratory materials</t>
  </si>
  <si>
    <t>I.3.a</t>
  </si>
  <si>
    <t>I.3.b</t>
  </si>
  <si>
    <t>IEC/ Publicity</t>
  </si>
  <si>
    <t>Vehicle maintenance</t>
  </si>
  <si>
    <t>Vehicle hiring</t>
  </si>
  <si>
    <t>NGO/PPP support</t>
  </si>
  <si>
    <t>Contractual services</t>
  </si>
  <si>
    <t>Research and studies</t>
  </si>
  <si>
    <t>Procurement –vehicles</t>
  </si>
  <si>
    <t>Procurement – equipment</t>
  </si>
  <si>
    <t>Tribal Action Plan</t>
  </si>
  <si>
    <t>Mobility Support</t>
  </si>
  <si>
    <t>Lab Consumables</t>
  </si>
  <si>
    <t>Review Meetings</t>
  </si>
  <si>
    <t>Field Visits</t>
  </si>
  <si>
    <t>Formats and Reports</t>
  </si>
  <si>
    <t>Human Resources</t>
  </si>
  <si>
    <t>Remuneration of Epidemiologists</t>
  </si>
  <si>
    <t>Remuneration of  Microbiologists</t>
  </si>
  <si>
    <t>Remuneration of  Entomologists</t>
  </si>
  <si>
    <t>Consultant-Finance</t>
  </si>
  <si>
    <t>Consultant-Training</t>
  </si>
  <si>
    <t>Data Managers</t>
  </si>
  <si>
    <t>Data Entry Operators</t>
  </si>
  <si>
    <t>Procurements</t>
  </si>
  <si>
    <t>Procurement -Equipments</t>
  </si>
  <si>
    <t>Procurement -Drugs &amp; Supplies</t>
  </si>
  <si>
    <t>Innovations /PPP/NGOs</t>
  </si>
  <si>
    <t>IEC-BCC Activities</t>
  </si>
  <si>
    <t xml:space="preserve">Financial Aids to Medical Institutions </t>
  </si>
  <si>
    <t>B1.1.5</t>
  </si>
  <si>
    <t>ASHA Resource Centre/ASHA Mentoring Group</t>
  </si>
  <si>
    <t>Any Other training (pl. specify)</t>
  </si>
  <si>
    <t>Strengthening of Districts , Sub Divisional Hospitals, CHCs,  PHCs</t>
  </si>
  <si>
    <t>Other M &amp; E Activities</t>
  </si>
  <si>
    <t>E.1.1</t>
  </si>
  <si>
    <t>E.1.2</t>
  </si>
  <si>
    <t>E.1.3</t>
  </si>
  <si>
    <t>E.1.4</t>
  </si>
  <si>
    <t>E.1.5</t>
  </si>
  <si>
    <t>E.2.1</t>
  </si>
  <si>
    <t>E.2.2</t>
  </si>
  <si>
    <t>E.2.3</t>
  </si>
  <si>
    <t>E.3.1</t>
  </si>
  <si>
    <t>E.3.2</t>
  </si>
  <si>
    <t>E.3.3</t>
  </si>
  <si>
    <t>E.3.4</t>
  </si>
  <si>
    <t>E.4.1</t>
  </si>
  <si>
    <t>E.4.2</t>
  </si>
  <si>
    <t>Honorarium/Counselling Charges</t>
  </si>
  <si>
    <t xml:space="preserve">Ophthalmic Surgeon </t>
  </si>
  <si>
    <r>
      <t>For Free Cataract Operation</t>
    </r>
    <r>
      <rPr>
        <sz val="12"/>
        <color indexed="8"/>
        <rFont val="Book Antiqua"/>
        <family val="1"/>
      </rPr>
      <t xml:space="preserve"> </t>
    </r>
    <r>
      <rPr>
        <sz val="12"/>
        <color indexed="8"/>
        <rFont val="Arial"/>
        <family val="2"/>
      </rPr>
      <t>and other Approved schemes as per financial norms</t>
    </r>
  </si>
  <si>
    <t>Other Eye Diseases</t>
  </si>
  <si>
    <t>School Eye Screening Programme</t>
  </si>
  <si>
    <t>Private Practitioners as per NGO norms</t>
  </si>
  <si>
    <t xml:space="preserve">Ophthalmic Assistant </t>
  </si>
  <si>
    <t xml:space="preserve">Eye Donation Counsellors </t>
  </si>
  <si>
    <t>B3.1</t>
  </si>
  <si>
    <t>B3.2</t>
  </si>
  <si>
    <t>B3.3</t>
  </si>
  <si>
    <t>B.10.3</t>
  </si>
  <si>
    <t>A.1.6</t>
  </si>
  <si>
    <t>Other Activities</t>
  </si>
  <si>
    <t>-Rural</t>
  </si>
  <si>
    <t>-Urban</t>
  </si>
  <si>
    <t>A.1.4.4</t>
  </si>
  <si>
    <t>Incentive to ASHAs</t>
  </si>
  <si>
    <t>A.4.3</t>
  </si>
  <si>
    <t>A.8.1</t>
  </si>
  <si>
    <t>A.8.1.1</t>
  </si>
  <si>
    <t>A.8.1.2</t>
  </si>
  <si>
    <t>A.8.1.3</t>
  </si>
  <si>
    <t>A.8.1.4</t>
  </si>
  <si>
    <t>A.8.1.5</t>
  </si>
  <si>
    <t>A.8.1.6</t>
  </si>
  <si>
    <t>A.8.1.7</t>
  </si>
  <si>
    <t>A.8.1.8</t>
  </si>
  <si>
    <t>A.8.1.9</t>
  </si>
  <si>
    <t>A.8.1.10</t>
  </si>
  <si>
    <t>A.8.2</t>
  </si>
  <si>
    <t>A.8.2.1</t>
  </si>
  <si>
    <t>A.8.2.2</t>
  </si>
  <si>
    <t>A.9.3</t>
  </si>
  <si>
    <t>A.9.3.1</t>
  </si>
  <si>
    <t>A.9.3.2</t>
  </si>
  <si>
    <t>A.9.3.3</t>
  </si>
  <si>
    <t>A.9.3.4</t>
  </si>
  <si>
    <t>A.9.3.5</t>
  </si>
  <si>
    <t>A.9.3.6</t>
  </si>
  <si>
    <t>A.9.3.7</t>
  </si>
  <si>
    <t>A.9.4</t>
  </si>
  <si>
    <t>A.9.5</t>
  </si>
  <si>
    <t>A.9.5.1</t>
  </si>
  <si>
    <t>A.9.5.2</t>
  </si>
  <si>
    <t>A.9.5.3</t>
  </si>
  <si>
    <t>A.9.5.4</t>
  </si>
  <si>
    <t>A.9.5.5</t>
  </si>
  <si>
    <t>A.9.6</t>
  </si>
  <si>
    <t>A.9.6.1</t>
  </si>
  <si>
    <t>A.9.6.2</t>
  </si>
  <si>
    <t>A.9.6.3</t>
  </si>
  <si>
    <t>A.9.6.4</t>
  </si>
  <si>
    <t>A.9.6.5</t>
  </si>
  <si>
    <t>A.9.6.6</t>
  </si>
  <si>
    <t>A.9.7</t>
  </si>
  <si>
    <t>A.9.8</t>
  </si>
  <si>
    <t>A.9.8.1</t>
  </si>
  <si>
    <t>A.9.8.2</t>
  </si>
  <si>
    <t>A.9.9</t>
  </si>
  <si>
    <t>A.9.10</t>
  </si>
  <si>
    <t>A.9.10.1</t>
  </si>
  <si>
    <t>A.9.10.2</t>
  </si>
  <si>
    <t>A.9.11</t>
  </si>
  <si>
    <t>A.9.11.1</t>
  </si>
  <si>
    <t>A.9.11.2</t>
  </si>
  <si>
    <t>A.9.11.3</t>
  </si>
  <si>
    <t>Incentive to DOTs Providers</t>
  </si>
  <si>
    <t xml:space="preserve">For RIO (new) </t>
  </si>
  <si>
    <t>For Medical College</t>
  </si>
  <si>
    <t>For  vision Centre</t>
  </si>
  <si>
    <t xml:space="preserve">For Eye Bank </t>
  </si>
  <si>
    <t xml:space="preserve">For Eye Donation Centre </t>
  </si>
  <si>
    <t>H.2.5</t>
  </si>
  <si>
    <t>For NGOs</t>
  </si>
  <si>
    <t>For Mobile Ophthalmic Units With Tele Network</t>
  </si>
  <si>
    <r>
      <t xml:space="preserve"> </t>
    </r>
    <r>
      <rPr>
        <b/>
        <sz val="12"/>
        <color indexed="8"/>
        <rFont val="Arial"/>
        <family val="2"/>
      </rPr>
      <t>Institutional Deliveries</t>
    </r>
  </si>
  <si>
    <t>DBS (Domestic Budgetary Support)</t>
  </si>
  <si>
    <t>Training Cost</t>
  </si>
  <si>
    <t>World Bank Project</t>
  </si>
  <si>
    <t>GFATM Project</t>
  </si>
  <si>
    <t>Human Resource</t>
  </si>
  <si>
    <t>Monitoring &amp; Administration</t>
  </si>
  <si>
    <t>I.E.C / B.C.C</t>
  </si>
  <si>
    <t>Operational expenses for treatment of bed nets</t>
  </si>
  <si>
    <t>F.6</t>
  </si>
  <si>
    <t>F.6.a</t>
  </si>
  <si>
    <t>F.6.b</t>
  </si>
  <si>
    <t>F.6.c</t>
  </si>
  <si>
    <t>MPW</t>
  </si>
  <si>
    <t>ASHA Honorarium</t>
  </si>
  <si>
    <t xml:space="preserve">Operational Cost </t>
  </si>
  <si>
    <t>Monitoring , Evaluation &amp; Supervision &amp; Epidemic Preparedness including mobility</t>
  </si>
  <si>
    <t>IEC/BCC</t>
  </si>
  <si>
    <t>PPP / NGO activities</t>
  </si>
  <si>
    <t>Training / Capacity Building</t>
  </si>
  <si>
    <t>Dengue &amp; Chikungunya</t>
  </si>
  <si>
    <t>Strengthening surveillance  (As per GOI approval)</t>
  </si>
  <si>
    <t>Test kits (Nos.) to be supplied by GoI (kindly indicate numbers of ELISA based NS1 kit and Mac ELISA Kits required separately)</t>
  </si>
  <si>
    <t xml:space="preserve">Epidemic Preparedness </t>
  </si>
  <si>
    <t>IEC/BCC/Social Mobilization</t>
  </si>
  <si>
    <t>Training/Workshop</t>
  </si>
  <si>
    <t>Acute Encephalitis Syndrome (AES)/ Japanese Encephalitis (JE)</t>
  </si>
  <si>
    <t>Strengthening of Sentinel Sites which will include diagnostics and management.  Supply of kits by GoI</t>
  </si>
  <si>
    <t>IEC/BCC specific to J.E. in endemic areas</t>
  </si>
  <si>
    <t>Training specific for J.E. prevention and management</t>
  </si>
  <si>
    <t>Monitoring and supervision</t>
  </si>
  <si>
    <t>Procurement of insecticides (Technical Malathion)</t>
  </si>
  <si>
    <t>Lymphatic Filariasis</t>
  </si>
  <si>
    <t>State Task Force, State Technical Advisory Committee meeting, printing of forms/registers, mobility support, district coordination meeting, sensitization of media etc., morbidity management, monitoring &amp; supervision and mobility support for Rapid Response Team</t>
  </si>
  <si>
    <t>Microfilaria survey</t>
  </si>
  <si>
    <t xml:space="preserve">Post MDA assessment by medical colleges (Govt. &amp; private)/ ICMR institutions. </t>
  </si>
  <si>
    <t>Training/sensitization of district level officers on ELF and drug distributors including peripheral health workers</t>
  </si>
  <si>
    <t>Specific IEC/BCC at state, district, PHC, sub-centre and village level  including VHSC/GKS for community mobilization efforts to realize the desired drug compliance of 85% during MDA</t>
  </si>
  <si>
    <t xml:space="preserve">Honorarium to drug distributors including ASHA and supervisors involved in MDA </t>
  </si>
  <si>
    <t xml:space="preserve">Training /Capacity building </t>
  </si>
  <si>
    <t xml:space="preserve">Mobility support for  Monitoring Supervision &amp; Evaluation &amp; review meetings, Reporting format (for printing formats) </t>
  </si>
  <si>
    <t xml:space="preserve">Cash grant for decentralized commodities </t>
  </si>
  <si>
    <t>Chloroquine phosphate tablets</t>
  </si>
  <si>
    <t>Primaquine tablets 2.5 mg</t>
  </si>
  <si>
    <t>Primaquine tablets 7.5 mg</t>
  </si>
  <si>
    <t>Quinine sulphate tablets</t>
  </si>
  <si>
    <t>Quinine Injections</t>
  </si>
  <si>
    <t>DEC 100 mg tablets</t>
  </si>
  <si>
    <t>Albendazole 400 mg tablets</t>
  </si>
  <si>
    <t>Dengue NS1 antigen kit</t>
  </si>
  <si>
    <t>Temephos, Bti (for polluted &amp; non polluted water)</t>
  </si>
  <si>
    <t>Pyrethrum extract 2%</t>
  </si>
  <si>
    <t>Externally aided component (EAC)</t>
  </si>
  <si>
    <t>F.1.1</t>
  </si>
  <si>
    <t>F.1.1.a</t>
  </si>
  <si>
    <t xml:space="preserve">Apex Referral Labs recurrent </t>
  </si>
  <si>
    <t>Sentinel surveillance Hospital recurrent</t>
  </si>
  <si>
    <t>F.1.1.b</t>
  </si>
  <si>
    <t>F.1.1.c</t>
  </si>
  <si>
    <t>F.1.1.d</t>
  </si>
  <si>
    <t>F.1.1.e</t>
  </si>
  <si>
    <t>F.1.1.f</t>
  </si>
  <si>
    <t>F.1.1.g</t>
  </si>
  <si>
    <t>F.1.2</t>
  </si>
  <si>
    <t>F.1.2.a</t>
  </si>
  <si>
    <t>F.1.2.b</t>
  </si>
  <si>
    <t>F.1.2.c</t>
  </si>
  <si>
    <t>F.1.2.d</t>
  </si>
  <si>
    <t>F.1.2.e</t>
  </si>
  <si>
    <t>F.1.3.a</t>
  </si>
  <si>
    <t>F.1.3</t>
  </si>
  <si>
    <t>F.1.4</t>
  </si>
  <si>
    <t>F.3.e</t>
  </si>
  <si>
    <t>F.6.d</t>
  </si>
  <si>
    <t>F.6.e</t>
  </si>
  <si>
    <t>F.6.f</t>
  </si>
  <si>
    <t>F.6.g</t>
  </si>
  <si>
    <t>F.6.h</t>
  </si>
  <si>
    <t>F.6.i</t>
  </si>
  <si>
    <t>F.1.3.b</t>
  </si>
  <si>
    <t>F.1.3.c</t>
  </si>
  <si>
    <t>F.1.3.d</t>
  </si>
  <si>
    <t>F.1.3.e</t>
  </si>
  <si>
    <t>F.1.4.a</t>
  </si>
  <si>
    <t>F.1.4.b</t>
  </si>
  <si>
    <t>F.1.4.c</t>
  </si>
  <si>
    <t>F.1.4.d.</t>
  </si>
  <si>
    <t>F.1.4.e.</t>
  </si>
  <si>
    <t>F.1.4.f</t>
  </si>
  <si>
    <t>F.6.j</t>
  </si>
  <si>
    <t>F.6.k.</t>
  </si>
  <si>
    <t>Any Other item (Please Specify)</t>
  </si>
  <si>
    <t>Any Other (Pl. specify)</t>
  </si>
  <si>
    <t>Blindness Survey</t>
  </si>
  <si>
    <t>Eye Ball Collection and Eye Bank</t>
  </si>
  <si>
    <t>H.1.3.</t>
  </si>
  <si>
    <r>
      <t>IEC                                                                      (</t>
    </r>
    <r>
      <rPr>
        <sz val="12"/>
        <color indexed="8"/>
        <rFont val="Arial"/>
        <family val="2"/>
      </rPr>
      <t xml:space="preserve"> Eye Donation Fortnight, World Sight Day &amp;  awareness programme in state &amp; districts)</t>
    </r>
  </si>
  <si>
    <t xml:space="preserve">For Eye Ward &amp; Eye OTS </t>
  </si>
  <si>
    <t>Contractual Man Power</t>
  </si>
  <si>
    <t>H.1.8</t>
  </si>
  <si>
    <t>H.1.9</t>
  </si>
  <si>
    <t>H.1.10</t>
  </si>
  <si>
    <t>H.1.11</t>
  </si>
  <si>
    <t>H.2.6</t>
  </si>
  <si>
    <t>H.2.7</t>
  </si>
  <si>
    <t>H.2.8</t>
  </si>
  <si>
    <t>H.3.3</t>
  </si>
  <si>
    <t xml:space="preserve">Eye Ball Collection </t>
  </si>
  <si>
    <t>H.1.13</t>
  </si>
  <si>
    <t>ADOLESCENT REPRODUCTIVE AND SEXUAL HEALTH / SCHOOL HEALTH</t>
  </si>
  <si>
    <t>Support to PNDT Cell</t>
  </si>
  <si>
    <t>A.7.1</t>
  </si>
  <si>
    <t>A.7.2</t>
  </si>
  <si>
    <t>A.11.</t>
  </si>
  <si>
    <t>Vulnerable Groups</t>
  </si>
  <si>
    <t>Administrative Expenses</t>
  </si>
  <si>
    <t>PROGRAMME / NRHM MANAGEMENT COST</t>
  </si>
  <si>
    <t>New Constructions/ Renovation and Setting up</t>
  </si>
  <si>
    <t>SHCs/Sub Centres</t>
  </si>
  <si>
    <t>Construction of BHO, Facility improvement, civil work, BemOC and CemOC centres</t>
  </si>
  <si>
    <t>Major civil works for operationalization of FRUS</t>
  </si>
  <si>
    <t>Major civil works for operationalization of 24 hour services at PHCs</t>
  </si>
  <si>
    <t>Strengthening of Existing Training Institutions/Nursing School( Other than HR)- ---Infrastructure &amp; Equipments for GNM Schools and ANMTC</t>
  </si>
  <si>
    <t>Panchayati Raj Initiative</t>
  </si>
  <si>
    <r>
      <t xml:space="preserve">New Initiatives/ Strategic Interventions </t>
    </r>
    <r>
      <rPr>
        <sz val="12"/>
        <rFont val="Arial"/>
        <family val="2"/>
      </rPr>
      <t>(As per State health policy)</t>
    </r>
    <r>
      <rPr>
        <b/>
        <sz val="12"/>
        <rFont val="Arial"/>
        <family val="2"/>
      </rPr>
      <t xml:space="preserve">/ Innovation/ Projects </t>
    </r>
    <r>
      <rPr>
        <sz val="12"/>
        <rFont val="Arial"/>
        <family val="2"/>
      </rPr>
      <t>(Telemedicine, Hepatitis, Mental Health, Nutrition Programme for Pregnant Women, Neonatal) NRHM Helpline)</t>
    </r>
    <r>
      <rPr>
        <b/>
        <sz val="12"/>
        <rFont val="Arial"/>
        <family val="2"/>
      </rPr>
      <t xml:space="preserve"> as per need (Block/ District Action Plans)</t>
    </r>
  </si>
  <si>
    <t>State level health resources centre(SHSRC)</t>
  </si>
  <si>
    <t xml:space="preserve">Statistical Officer / Staffs </t>
  </si>
  <si>
    <t>World Bank support for Malaria (Andhra Pradesh, Chhattisgarh, Jharkhand, Madhya Pradesh, Orissa, Gujarat, Karnataka &amp; Maharashtra)</t>
  </si>
  <si>
    <t>Planning &amp; Administration</t>
  </si>
  <si>
    <t>Operational Costs (Mobility, Review Meeting,communication,formats &amp; reports)</t>
  </si>
  <si>
    <t>Management of State Health Society and Distt. Health Society Remuneration(Salary/ review meeting, hiring vehicles and other Activities &amp; Contingency)</t>
  </si>
  <si>
    <t>Recurring GIA to Eye Donation Centres</t>
  </si>
  <si>
    <t>Maintenance of Ophthalmic Equipments</t>
  </si>
  <si>
    <t xml:space="preserve">The ASHA Incentive paid under different programmes of NRHM also needs to be populated separately in the below format. </t>
  </si>
  <si>
    <t>Actual  / Achievement</t>
  </si>
  <si>
    <t>Training PMOA</t>
  </si>
  <si>
    <t>F-IMNCI</t>
  </si>
  <si>
    <t>F.1.5</t>
  </si>
  <si>
    <t>Kala-azar</t>
  </si>
  <si>
    <t>Case Search</t>
  </si>
  <si>
    <t>Spray Pumps</t>
  </si>
  <si>
    <t>Operational Cost for spray including spray wages</t>
  </si>
  <si>
    <t>Mobility /POL</t>
  </si>
  <si>
    <t>Monitoring &amp; Evaluation</t>
  </si>
  <si>
    <t>Training for spraying</t>
  </si>
  <si>
    <t>F.1.5.a</t>
  </si>
  <si>
    <t>F.1.5.b</t>
  </si>
  <si>
    <t>F.1.5.c</t>
  </si>
  <si>
    <t>F.1.5.d</t>
  </si>
  <si>
    <t>F.1.5.e</t>
  </si>
  <si>
    <t>F.1.5.f</t>
  </si>
  <si>
    <t>Any Other Activities (Pl. specify)</t>
  </si>
  <si>
    <t>F.1.1.h</t>
  </si>
  <si>
    <t>F.1.2.a.(i)</t>
  </si>
  <si>
    <t>F.1.2.a.(ii)</t>
  </si>
  <si>
    <t>F.1.2.f.</t>
  </si>
  <si>
    <t>Capacity Building (Kala-azar)</t>
  </si>
  <si>
    <t>Mobility (Kala-azar)</t>
  </si>
  <si>
    <t>F.2.a</t>
  </si>
  <si>
    <t>F.2.b.</t>
  </si>
  <si>
    <t>F.2.c</t>
  </si>
  <si>
    <t>F.2.d</t>
  </si>
  <si>
    <t>F.2.e</t>
  </si>
  <si>
    <t>F.2.f.</t>
  </si>
  <si>
    <t>F.2.g.</t>
  </si>
  <si>
    <t>ASHA Honorarium under NVBDCP (DBS)</t>
  </si>
  <si>
    <t>Caesarean Section</t>
  </si>
  <si>
    <t>Human Resources (Kala-azar)</t>
  </si>
  <si>
    <t xml:space="preserve"> </t>
  </si>
  <si>
    <t>B 1.1</t>
  </si>
  <si>
    <t>NB</t>
  </si>
  <si>
    <t>* NB- No Budget</t>
  </si>
  <si>
    <t>A1.7.1</t>
  </si>
  <si>
    <t>A1.7.2</t>
  </si>
  <si>
    <t>Diagnostics</t>
  </si>
  <si>
    <t>Blood Transfusion</t>
  </si>
  <si>
    <t>Diet</t>
  </si>
  <si>
    <t>A1.7</t>
  </si>
  <si>
    <t xml:space="preserve">A.1.7.4 </t>
  </si>
  <si>
    <t>Free Referral Transport  (Other than A1.2)</t>
  </si>
  <si>
    <t>JSSK  (for Pregnant Women)</t>
  </si>
  <si>
    <t>A.2.10</t>
  </si>
  <si>
    <t>A.2.10.1</t>
  </si>
  <si>
    <t xml:space="preserve">JSSK  (for Sick neonates up to 30 days) </t>
  </si>
  <si>
    <t>Free Referral Transport  (Other than A1.2 and A1.7.5)</t>
  </si>
  <si>
    <t>Drugs &amp; Consumables (other than reflected in Procurement)</t>
  </si>
  <si>
    <t>A1.7.3</t>
  </si>
  <si>
    <t>A.1.7.5</t>
  </si>
  <si>
    <t>A.2.10.2</t>
  </si>
  <si>
    <t>A.2.10.3</t>
  </si>
  <si>
    <t>Lab Technicians ( against vacancy )</t>
  </si>
  <si>
    <t>VBD Technical Supervisor (one for each block)</t>
  </si>
  <si>
    <t xml:space="preserve">District VBD Consultant (one per district) (Non- Project States) </t>
  </si>
  <si>
    <t>State Consultant (Non – Project States),
M&amp;E Consultant (Medical Graduate with PH qualification)
 - VBD Consultant (preferably  entomologist)</t>
  </si>
  <si>
    <t xml:space="preserve">Spray Wages </t>
  </si>
  <si>
    <t>Operational cost for IRS</t>
  </si>
  <si>
    <t>Impregnation  of Bed nets-  for NE states</t>
  </si>
  <si>
    <t>Zonal Entomological units</t>
  </si>
  <si>
    <t>Biological and Environmental Management through VHSC</t>
  </si>
  <si>
    <t>Larvivorous Fish support</t>
  </si>
  <si>
    <t>Construction and maintenance of Hatcheries</t>
  </si>
  <si>
    <t xml:space="preserve">ELISA  facility to Sentinel Surv Labs </t>
  </si>
  <si>
    <t>Case management</t>
  </si>
  <si>
    <t>Vector Control &amp;  environmental management</t>
  </si>
  <si>
    <t>Inter-sectoral convergence</t>
  </si>
  <si>
    <t>Fogging Machine</t>
  </si>
  <si>
    <t>Operational costs for malathion  fogging</t>
  </si>
  <si>
    <t>Operational Research</t>
  </si>
  <si>
    <t>Rehabilitation Setup for selected endemic districts</t>
  </si>
  <si>
    <t>ICU  Establishment in endemic districts</t>
  </si>
  <si>
    <t>ASHA Insentivization for sensitizing community</t>
  </si>
  <si>
    <t>Other Charges for  Training /Workshop Meeting &amp; payment to NIV towards JE kits at Head Quarter</t>
  </si>
  <si>
    <t>Verification and validation for stoppage of MDA in LF endemic districts</t>
  </si>
  <si>
    <t>a) Additional MF Survey</t>
  </si>
  <si>
    <t>b) ICT Survey</t>
  </si>
  <si>
    <t>c) ICT Cost</t>
  </si>
  <si>
    <t>Verification of LF endemicity in non-endemic districts</t>
  </si>
  <si>
    <t>a) LY &amp; Hy Survey</t>
  </si>
  <si>
    <t>b) Mf Survey in Non- endemic distt</t>
  </si>
  <si>
    <t xml:space="preserve">c) ICT survey </t>
  </si>
  <si>
    <t xml:space="preserve">Post-MDA surveillance </t>
  </si>
  <si>
    <t>ACT ( For Non Project states)</t>
  </si>
  <si>
    <t>RDT Malaria – bi-valent (For Non Project states)</t>
  </si>
  <si>
    <t>Contractual Payments</t>
  </si>
  <si>
    <t>F.1.1.a.i</t>
  </si>
  <si>
    <t>F.1.1.a.ii</t>
  </si>
  <si>
    <t>F.1.1.a.iii</t>
  </si>
  <si>
    <t>F.1.1.a.iv</t>
  </si>
  <si>
    <t>F.1.1.a.v</t>
  </si>
  <si>
    <t>F.1.1.i</t>
  </si>
  <si>
    <t>F.1.1.j</t>
  </si>
  <si>
    <t>F.1.1.k</t>
  </si>
  <si>
    <t>F.1.1.l</t>
  </si>
  <si>
    <t>F.1.2.a.(iii)</t>
  </si>
  <si>
    <t>F.1.2.g</t>
  </si>
  <si>
    <t>F.1.2.h</t>
  </si>
  <si>
    <t>F.1.2.i</t>
  </si>
  <si>
    <t>F.1.3.f</t>
  </si>
  <si>
    <t>F.1.3.g</t>
  </si>
  <si>
    <t>F.1.3.h</t>
  </si>
  <si>
    <t>F.1.3.i</t>
  </si>
  <si>
    <t>F.1.3.j</t>
  </si>
  <si>
    <t>F.1.3.k</t>
  </si>
  <si>
    <t>F.1.3.l</t>
  </si>
  <si>
    <t>F.1.4.g</t>
  </si>
  <si>
    <t>F.1.4.g.i</t>
  </si>
  <si>
    <t>F.1.4.g.ii</t>
  </si>
  <si>
    <t>F.1.4.g.iii</t>
  </si>
  <si>
    <t>F.1.4.h</t>
  </si>
  <si>
    <t>F.1.4.h.i</t>
  </si>
  <si>
    <t>F.1.4.h.ii</t>
  </si>
  <si>
    <t>F.1.4.h.iii</t>
  </si>
  <si>
    <t>F.1.4.i</t>
  </si>
  <si>
    <t>F.6.l</t>
  </si>
  <si>
    <t>F.6.m</t>
  </si>
  <si>
    <t>F.1.1.c.i</t>
  </si>
  <si>
    <t>F.1.1.c.ii</t>
  </si>
  <si>
    <t>F.1.1.c.iii</t>
  </si>
  <si>
    <t>D.6.</t>
  </si>
  <si>
    <t>G 1.</t>
  </si>
  <si>
    <t>Improved early case detection</t>
  </si>
  <si>
    <t>G 1.1</t>
  </si>
  <si>
    <t>Incentive to ASHA</t>
  </si>
  <si>
    <t>G1.1 a</t>
  </si>
  <si>
    <t>Sensitization of ASHA</t>
  </si>
  <si>
    <t>G 1.2</t>
  </si>
  <si>
    <t>Specific -plan for High Endemic Distrcts</t>
  </si>
  <si>
    <t>G 2</t>
  </si>
  <si>
    <t>Improved case management</t>
  </si>
  <si>
    <t>G 2.1</t>
  </si>
  <si>
    <t xml:space="preserve">DPMR Services, (MCR footwear, Aids and appliances, Welfare  allowance to BPL patients for RCS, Support to govt. institutions for RCS) </t>
  </si>
  <si>
    <t>G 2.2</t>
  </si>
  <si>
    <t>Urban L:eprosy Control, (Mega city - 0   , Medium city (1) -3    , Med. City (2)- 1    Township -19)</t>
  </si>
  <si>
    <t xml:space="preserve">G 2.3 </t>
  </si>
  <si>
    <t>Supportive drugs, lab. reagents &amp; equipments and printing works</t>
  </si>
  <si>
    <t xml:space="preserve">G 2.4 </t>
  </si>
  <si>
    <t>NGO - SET Scheme</t>
  </si>
  <si>
    <t>G 3</t>
  </si>
  <si>
    <t>Stigma Reduced</t>
  </si>
  <si>
    <t>G 3.1</t>
  </si>
  <si>
    <t>Mass media, Outdoor media, Rural media, Advocacy media</t>
  </si>
  <si>
    <t>G 4.</t>
  </si>
  <si>
    <t>Development of Leprosy Expertise sustained</t>
  </si>
  <si>
    <t>G 4.1</t>
  </si>
  <si>
    <t>Training of new MO</t>
  </si>
  <si>
    <t>G 4.2</t>
  </si>
  <si>
    <t>Refresher training of MO</t>
  </si>
  <si>
    <t>G 4.3</t>
  </si>
  <si>
    <t>Training to New H.S/H.W.</t>
  </si>
  <si>
    <t>G 4.4</t>
  </si>
  <si>
    <t xml:space="preserve">Other training -Physiotherapist </t>
  </si>
  <si>
    <t>G 4.5</t>
  </si>
  <si>
    <t>Training to Lab. Tech.</t>
  </si>
  <si>
    <t>G 4.6</t>
  </si>
  <si>
    <t>Management training for District Nucleus Team</t>
  </si>
  <si>
    <t>G 5.</t>
  </si>
  <si>
    <t xml:space="preserve">Monitoring, Supervision and Evaluation System improved </t>
  </si>
  <si>
    <t xml:space="preserve">G 5.1 </t>
  </si>
  <si>
    <t>Travel Cost and Review Meeting</t>
  </si>
  <si>
    <t xml:space="preserve"> travel expenses - Contractual Staff at District level</t>
  </si>
  <si>
    <t xml:space="preserve"> Review meetings </t>
  </si>
  <si>
    <t xml:space="preserve">G 5.2 </t>
  </si>
  <si>
    <t>Office Operation &amp; Maintenance</t>
  </si>
  <si>
    <t>Office operation - State Cell</t>
  </si>
  <si>
    <t>Office operation - District Cell</t>
  </si>
  <si>
    <t>Office equipment maint. State</t>
  </si>
  <si>
    <t xml:space="preserve">G 5.3 </t>
  </si>
  <si>
    <t>Consumables</t>
  </si>
  <si>
    <t>State Cell</t>
  </si>
  <si>
    <t>District Cell</t>
  </si>
  <si>
    <t xml:space="preserve">G 5.4 </t>
  </si>
  <si>
    <t>Vehicle Hiring and POL</t>
  </si>
  <si>
    <t>G 6.</t>
  </si>
  <si>
    <t>Programme Management ensured</t>
  </si>
  <si>
    <t xml:space="preserve">G 6.1 </t>
  </si>
  <si>
    <t>Contractual Staff at State level</t>
  </si>
  <si>
    <t>SMO</t>
  </si>
  <si>
    <t>BFO cum Admn. Officer</t>
  </si>
  <si>
    <t>Admn. Asstt.</t>
  </si>
  <si>
    <t>DEO</t>
  </si>
  <si>
    <t>Driver</t>
  </si>
  <si>
    <t xml:space="preserve">G 6.2 </t>
  </si>
  <si>
    <t>Contractual Staff at Disrrict level</t>
  </si>
  <si>
    <t>Contractual Staff in selected States, NMS</t>
  </si>
  <si>
    <t>G 7.</t>
  </si>
  <si>
    <t xml:space="preserve">Others </t>
  </si>
  <si>
    <t>G 7.1</t>
  </si>
  <si>
    <t>Travel expenses for regular staff for specific programme / training need, awards etc</t>
  </si>
  <si>
    <t>Travel expenses - Contractual Staff at State level</t>
  </si>
  <si>
    <t>G 2.3.i</t>
  </si>
  <si>
    <t>G 5.1.i</t>
  </si>
  <si>
    <t>G 5.1.ii</t>
  </si>
  <si>
    <t>G 5.1.iii</t>
  </si>
  <si>
    <t>G 5.2.i</t>
  </si>
  <si>
    <t>G 5.2.ii</t>
  </si>
  <si>
    <t>G 5.2 .iii</t>
  </si>
  <si>
    <t>G 5.3 i</t>
  </si>
  <si>
    <t>G 5.3.ii</t>
  </si>
  <si>
    <t>G 5.4.i</t>
  </si>
  <si>
    <t>G 5.4.ii</t>
  </si>
  <si>
    <t>G 6.1.i</t>
  </si>
  <si>
    <t>G 6.1.ii</t>
  </si>
  <si>
    <t>G 6.1.iii</t>
  </si>
  <si>
    <t>G 6.1.iv</t>
  </si>
  <si>
    <t>G 6.1.v</t>
  </si>
  <si>
    <t>G 6.2.i</t>
  </si>
  <si>
    <t>G 6.2.ii</t>
  </si>
  <si>
    <t>E.9</t>
  </si>
  <si>
    <t>(15)</t>
  </si>
  <si>
    <t>(16)</t>
  </si>
  <si>
    <t xml:space="preserve">Budgeted Committed Liabiiity </t>
  </si>
  <si>
    <t>ASHA Incentive under IDD</t>
  </si>
  <si>
    <t>ASHA Incentive Paid under NLEP</t>
  </si>
  <si>
    <t>Financial Progress</t>
  </si>
  <si>
    <t>F.1.5.a.</t>
  </si>
  <si>
    <t>H.1.4.i</t>
  </si>
  <si>
    <t>A.10.8</t>
  </si>
  <si>
    <r>
      <t xml:space="preserve">Other Expenditures </t>
    </r>
    <r>
      <rPr>
        <sz val="12"/>
        <rFont val="Arial"/>
        <family val="2"/>
      </rPr>
      <t>(Power Backup, Convergence, any other etc.)</t>
    </r>
    <r>
      <rPr>
        <b/>
        <sz val="12"/>
        <rFont val="Arial"/>
        <family val="2"/>
      </rPr>
      <t xml:space="preserve"> </t>
    </r>
  </si>
  <si>
    <t>C.7</t>
  </si>
  <si>
    <t>Other activities (if any, pls. specify)</t>
  </si>
  <si>
    <t>D.7</t>
  </si>
  <si>
    <t xml:space="preserve"> Committed Liability  of Previous Year (As per ROP)</t>
  </si>
  <si>
    <t>Budget Allotted as per ROP</t>
  </si>
  <si>
    <t>A.1.4.2.a.</t>
  </si>
  <si>
    <t>A.1.4.2.b.</t>
  </si>
  <si>
    <t>A.1.4.2.c.</t>
  </si>
  <si>
    <t>Note</t>
  </si>
  <si>
    <r>
      <t>("Name of the State/UT")</t>
    </r>
    <r>
      <rPr>
        <b/>
        <sz val="12"/>
        <rFont val="Arial"/>
        <family val="2"/>
      </rPr>
      <t xml:space="preserve"> State Health Society ____Manipur_________________________________________</t>
    </r>
  </si>
  <si>
    <t>No.</t>
  </si>
  <si>
    <t>No. of ASHAs</t>
  </si>
  <si>
    <t>workshop</t>
  </si>
  <si>
    <t>camps</t>
  </si>
  <si>
    <t xml:space="preserve">field visits,meetings, WPD </t>
  </si>
  <si>
    <t>WPD observed</t>
  </si>
  <si>
    <t>no.</t>
  </si>
  <si>
    <t>Trainings</t>
  </si>
  <si>
    <t>Appointment of prog. &amp; legal Oficer,data manager</t>
  </si>
  <si>
    <t xml:space="preserve">540 nurses,90 MO, 60 LT </t>
  </si>
  <si>
    <t>16 OT asst., 1 MDR worshop,District level FBMDR &amp; CBMDR</t>
  </si>
  <si>
    <t xml:space="preserve"> 100SN,100 Mo</t>
  </si>
  <si>
    <t>4 batches</t>
  </si>
  <si>
    <t xml:space="preserve">refresher trg. </t>
  </si>
  <si>
    <t>120 MO,540 nurses</t>
  </si>
  <si>
    <t>PPIUCD</t>
  </si>
  <si>
    <t>90MO,  68 counselors, 136 ANMS on ARSH,  27 DTOT &amp; 111  BTOTon WIFS, 1427 School teacher</t>
  </si>
  <si>
    <t xml:space="preserve"> 20-25 per dist.</t>
  </si>
  <si>
    <t>FINANCIAL REPORT FOR THE MONTH ENDED__OCT 31__2012____________ of the Financial Year _2012-13_________________</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</si>
</sst>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0;[Red]0.00"/>
    <numFmt numFmtId="177" formatCode="0.0"/>
    <numFmt numFmtId="178" formatCode="_(* #,##0.000_);_(* \(#,##0.000\);_(* &quot;-&quot;??_);_(@_)"/>
    <numFmt numFmtId="179" formatCode="0.000"/>
    <numFmt numFmtId="180" formatCode="[$-4009]dd\ mmmm\ yyyy"/>
    <numFmt numFmtId="181" formatCode="0.0000"/>
    <numFmt numFmtId="182" formatCode="0.00000"/>
  </numFmts>
  <fonts count="70">
    <font>
      <sz val="10"/>
      <name val="Arial"/>
      <family val="0"/>
    </font>
    <font>
      <sz val="11"/>
      <color indexed="8"/>
      <name val="Calibri"/>
      <family val="2"/>
    </font>
    <font>
      <b/>
      <sz val="12"/>
      <name val="Arial"/>
      <family val="2"/>
    </font>
    <font>
      <b/>
      <sz val="12"/>
      <color indexed="8"/>
      <name val="Arial"/>
      <family val="2"/>
    </font>
    <font>
      <b/>
      <u val="single"/>
      <sz val="12"/>
      <name val="Arial"/>
      <family val="2"/>
    </font>
    <font>
      <sz val="11"/>
      <name val="Arial"/>
      <family val="2"/>
    </font>
    <font>
      <sz val="12"/>
      <name val="Times New Roman"/>
      <family val="1"/>
    </font>
    <font>
      <sz val="12"/>
      <name val="Arial"/>
      <family val="2"/>
    </font>
    <font>
      <b/>
      <i/>
      <sz val="12"/>
      <name val="Arial"/>
      <family val="2"/>
    </font>
    <font>
      <sz val="12"/>
      <color indexed="8"/>
      <name val="Arial"/>
      <family val="2"/>
    </font>
    <font>
      <sz val="12"/>
      <color indexed="8"/>
      <name val="Times New Roman"/>
      <family val="1"/>
    </font>
    <font>
      <sz val="12"/>
      <color indexed="10"/>
      <name val="Arial"/>
      <family val="2"/>
    </font>
    <font>
      <i/>
      <sz val="12"/>
      <name val="Arial"/>
      <family val="2"/>
    </font>
    <font>
      <u val="single"/>
      <sz val="12"/>
      <name val="Arial"/>
      <family val="2"/>
    </font>
    <font>
      <b/>
      <sz val="16"/>
      <name val="Arial"/>
      <family val="2"/>
    </font>
    <font>
      <sz val="12"/>
      <color indexed="8"/>
      <name val="Book Antiqua"/>
      <family val="1"/>
    </font>
    <font>
      <b/>
      <sz val="12"/>
      <color indexed="8"/>
      <name val="Times New Roman"/>
      <family val="1"/>
    </font>
    <font>
      <b/>
      <sz val="10"/>
      <color indexed="8"/>
      <name val="Arial"/>
      <family val="2"/>
    </font>
    <font>
      <b/>
      <sz val="11"/>
      <color indexed="8"/>
      <name val="Arial"/>
      <family val="2"/>
    </font>
    <font>
      <sz val="10"/>
      <color indexed="10"/>
      <name val="Arial"/>
      <family val="2"/>
    </font>
    <font>
      <b/>
      <sz val="12"/>
      <color indexed="10"/>
      <name val="Arial"/>
      <family val="2"/>
    </font>
    <font>
      <sz val="8"/>
      <name val="Arial"/>
      <family val="2"/>
    </font>
    <font>
      <b/>
      <sz val="10"/>
      <name val="Arial"/>
      <family val="2"/>
    </font>
    <font>
      <b/>
      <sz val="11"/>
      <name val="Arial"/>
      <family val="2"/>
    </font>
    <font>
      <b/>
      <sz val="12"/>
      <name val="Times New Roman"/>
      <family val="1"/>
    </font>
    <font>
      <b/>
      <sz val="10"/>
      <color indexed="10"/>
      <name val="Arial"/>
      <family val="2"/>
    </font>
    <font>
      <sz val="9"/>
      <name val="Arial"/>
      <family val="2"/>
    </font>
    <font>
      <b/>
      <sz val="9"/>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sz val="12"/>
      <color rgb="FF0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42"/>
        <bgColor indexed="64"/>
      </patternFill>
    </fill>
    <fill>
      <patternFill patternType="solid">
        <fgColor indexed="4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style="thin"/>
      <right>
        <color indexed="63"/>
      </right>
      <top style="thin"/>
      <bottom style="thin"/>
    </border>
    <border>
      <left style="thin"/>
      <right style="thin"/>
      <top>
        <color indexed="63"/>
      </top>
      <bottom style="thin"/>
    </border>
    <border>
      <left>
        <color indexed="63"/>
      </left>
      <right/>
      <top>
        <color indexed="63"/>
      </top>
      <bottom style="thin"/>
    </border>
    <border>
      <left style="medium"/>
      <right/>
      <top/>
      <bottom/>
    </border>
    <border>
      <left>
        <color indexed="63"/>
      </left>
      <right>
        <color indexed="63"/>
      </right>
      <top style="thin"/>
      <bottom style="thin"/>
    </border>
    <border>
      <left/>
      <right style="thin"/>
      <top style="thin"/>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99">
    <xf numFmtId="0" fontId="0" fillId="0" borderId="0" xfId="0" applyAlignment="1">
      <alignment/>
    </xf>
    <xf numFmtId="0" fontId="6" fillId="0" borderId="10" xfId="0" applyFont="1" applyBorder="1" applyAlignment="1">
      <alignment horizontal="justify" vertical="top"/>
    </xf>
    <xf numFmtId="0" fontId="2" fillId="33" borderId="10" xfId="0" applyFont="1" applyFill="1" applyBorder="1" applyAlignment="1">
      <alignment vertical="top" wrapText="1"/>
    </xf>
    <xf numFmtId="0" fontId="6" fillId="0" borderId="10" xfId="0" applyFont="1" applyBorder="1" applyAlignment="1">
      <alignment horizontal="justify" vertical="top" wrapText="1"/>
    </xf>
    <xf numFmtId="0" fontId="0" fillId="0" borderId="11" xfId="0" applyFill="1" applyBorder="1" applyAlignment="1">
      <alignment/>
    </xf>
    <xf numFmtId="0" fontId="0" fillId="0" borderId="0" xfId="0" applyFill="1" applyBorder="1" applyAlignment="1">
      <alignment/>
    </xf>
    <xf numFmtId="0" fontId="0" fillId="0" borderId="0" xfId="0" applyFill="1" applyBorder="1" applyAlignment="1">
      <alignment vertical="top"/>
    </xf>
    <xf numFmtId="0" fontId="0" fillId="0" borderId="0" xfId="0" applyFill="1" applyBorder="1" applyAlignment="1">
      <alignment horizontal="center" vertical="center"/>
    </xf>
    <xf numFmtId="0" fontId="5" fillId="0" borderId="0" xfId="0" applyFont="1" applyFill="1" applyBorder="1" applyAlignment="1">
      <alignment/>
    </xf>
    <xf numFmtId="0" fontId="0" fillId="0" borderId="0" xfId="0" applyBorder="1" applyAlignment="1">
      <alignment/>
    </xf>
    <xf numFmtId="0" fontId="3" fillId="34" borderId="10" xfId="0" applyFont="1" applyFill="1" applyBorder="1" applyAlignment="1" quotePrefix="1">
      <alignment horizontal="center" vertical="top" wrapText="1"/>
    </xf>
    <xf numFmtId="0" fontId="2" fillId="35" borderId="10" xfId="0" applyFont="1" applyFill="1" applyBorder="1" applyAlignment="1">
      <alignment horizontal="justify" vertical="top" wrapText="1"/>
    </xf>
    <xf numFmtId="0" fontId="3" fillId="35" borderId="10" xfId="0" applyFont="1" applyFill="1" applyBorder="1" applyAlignment="1">
      <alignment horizontal="justify" vertical="top" wrapText="1"/>
    </xf>
    <xf numFmtId="0" fontId="9" fillId="0" borderId="10" xfId="0" applyFont="1" applyBorder="1" applyAlignment="1">
      <alignment vertical="top" wrapText="1"/>
    </xf>
    <xf numFmtId="0" fontId="9" fillId="0" borderId="10" xfId="0" applyFont="1" applyBorder="1" applyAlignment="1">
      <alignment horizontal="justify" vertical="top"/>
    </xf>
    <xf numFmtId="0" fontId="10" fillId="0" borderId="10" xfId="0" applyFont="1" applyBorder="1" applyAlignment="1">
      <alignment vertical="top" wrapText="1"/>
    </xf>
    <xf numFmtId="0" fontId="10" fillId="0" borderId="10" xfId="0" applyFont="1" applyBorder="1" applyAlignment="1">
      <alignment horizontal="justify" vertical="top"/>
    </xf>
    <xf numFmtId="0" fontId="3" fillId="0" borderId="10" xfId="0" applyFont="1" applyBorder="1" applyAlignment="1">
      <alignment horizontal="justify" vertical="top" wrapText="1"/>
    </xf>
    <xf numFmtId="0" fontId="9" fillId="0" borderId="10" xfId="0" applyFont="1" applyBorder="1" applyAlignment="1">
      <alignment horizontal="left" vertical="top" wrapText="1"/>
    </xf>
    <xf numFmtId="0" fontId="3" fillId="35" borderId="10" xfId="0" applyFont="1" applyFill="1" applyBorder="1" applyAlignment="1">
      <alignment horizontal="left" vertical="top" wrapText="1"/>
    </xf>
    <xf numFmtId="0" fontId="7" fillId="0" borderId="10" xfId="0" applyFont="1" applyBorder="1" applyAlignment="1">
      <alignment horizontal="justify" vertical="top" wrapText="1"/>
    </xf>
    <xf numFmtId="0" fontId="7" fillId="0" borderId="10" xfId="0" applyFont="1" applyBorder="1" applyAlignment="1">
      <alignment horizontal="justify" vertical="top"/>
    </xf>
    <xf numFmtId="0" fontId="9" fillId="0" borderId="10" xfId="0" applyFont="1" applyBorder="1" applyAlignment="1">
      <alignment horizontal="justify" vertical="top" wrapText="1"/>
    </xf>
    <xf numFmtId="0" fontId="7" fillId="0" borderId="10" xfId="0" applyFont="1" applyBorder="1" applyAlignment="1">
      <alignment vertical="top" wrapText="1"/>
    </xf>
    <xf numFmtId="0" fontId="6" fillId="0" borderId="10" xfId="0" applyFont="1" applyBorder="1" applyAlignment="1">
      <alignment vertical="top" wrapText="1"/>
    </xf>
    <xf numFmtId="0" fontId="3" fillId="0" borderId="10" xfId="0" applyFont="1" applyBorder="1" applyAlignment="1">
      <alignment vertical="top" wrapText="1"/>
    </xf>
    <xf numFmtId="0" fontId="7" fillId="35" borderId="10" xfId="0" applyFont="1" applyFill="1" applyBorder="1" applyAlignment="1">
      <alignment horizontal="justify" vertical="top"/>
    </xf>
    <xf numFmtId="0" fontId="2" fillId="35" borderId="10" xfId="0" applyFont="1" applyFill="1" applyBorder="1" applyAlignment="1">
      <alignment horizontal="left" vertical="top" wrapText="1"/>
    </xf>
    <xf numFmtId="0" fontId="7" fillId="0" borderId="10" xfId="0" applyFont="1" applyBorder="1" applyAlignment="1">
      <alignment horizontal="left" vertical="top" indent="4"/>
    </xf>
    <xf numFmtId="0" fontId="7" fillId="0" borderId="10" xfId="0" applyFont="1" applyBorder="1" applyAlignment="1">
      <alignment/>
    </xf>
    <xf numFmtId="0" fontId="7" fillId="0" borderId="10" xfId="0" applyFont="1" applyFill="1" applyBorder="1" applyAlignment="1" applyProtection="1">
      <alignment horizontal="justify" vertical="top" wrapText="1"/>
      <protection/>
    </xf>
    <xf numFmtId="0" fontId="7" fillId="0" borderId="10" xfId="0" applyFont="1" applyBorder="1" applyAlignment="1">
      <alignment horizontal="left" vertical="top" wrapText="1"/>
    </xf>
    <xf numFmtId="0" fontId="7" fillId="0" borderId="10" xfId="0" applyFont="1" applyFill="1" applyBorder="1" applyAlignment="1">
      <alignment/>
    </xf>
    <xf numFmtId="0" fontId="2" fillId="35" borderId="10" xfId="0" applyFont="1" applyFill="1" applyBorder="1" applyAlignment="1">
      <alignment vertical="top" wrapText="1"/>
    </xf>
    <xf numFmtId="0" fontId="7" fillId="0" borderId="10" xfId="0" applyFont="1" applyBorder="1" applyAlignment="1">
      <alignment vertical="top"/>
    </xf>
    <xf numFmtId="0" fontId="2" fillId="0" borderId="10" xfId="0" applyFont="1" applyBorder="1" applyAlignment="1">
      <alignment horizontal="justify" vertical="top" wrapText="1"/>
    </xf>
    <xf numFmtId="0" fontId="12" fillId="0" borderId="10" xfId="0" applyFont="1" applyBorder="1" applyAlignment="1">
      <alignment horizontal="justify" vertical="top"/>
    </xf>
    <xf numFmtId="0" fontId="12" fillId="0" borderId="10" xfId="0" applyFont="1" applyFill="1" applyBorder="1" applyAlignment="1">
      <alignment horizontal="justify" vertical="top"/>
    </xf>
    <xf numFmtId="0" fontId="2" fillId="35" borderId="10" xfId="0" applyFont="1" applyFill="1" applyBorder="1" applyAlignment="1">
      <alignment/>
    </xf>
    <xf numFmtId="0" fontId="7" fillId="0" borderId="10" xfId="0" applyFont="1" applyBorder="1" applyAlignment="1">
      <alignment wrapText="1"/>
    </xf>
    <xf numFmtId="0" fontId="7" fillId="0" borderId="10" xfId="0" applyFont="1" applyFill="1" applyBorder="1" applyAlignment="1" applyProtection="1">
      <alignment horizontal="justify" vertical="top"/>
      <protection/>
    </xf>
    <xf numFmtId="0" fontId="7" fillId="0" borderId="10" xfId="0" applyFont="1" applyBorder="1" applyAlignment="1" applyProtection="1">
      <alignment horizontal="justify" vertical="top" wrapText="1"/>
      <protection/>
    </xf>
    <xf numFmtId="0" fontId="11" fillId="0" borderId="10" xfId="0" applyFont="1" applyBorder="1" applyAlignment="1">
      <alignment/>
    </xf>
    <xf numFmtId="0" fontId="2" fillId="35" borderId="10" xfId="0" applyFont="1" applyFill="1" applyBorder="1" applyAlignment="1">
      <alignment wrapText="1"/>
    </xf>
    <xf numFmtId="0" fontId="7" fillId="0" borderId="10" xfId="0" applyFont="1" applyFill="1" applyBorder="1" applyAlignment="1">
      <alignment horizontal="justify" wrapText="1"/>
    </xf>
    <xf numFmtId="0" fontId="2" fillId="0" borderId="10" xfId="0" applyFont="1" applyFill="1" applyBorder="1" applyAlignment="1" applyProtection="1">
      <alignment horizontal="justify" vertical="center" wrapText="1"/>
      <protection/>
    </xf>
    <xf numFmtId="0" fontId="2" fillId="0" borderId="10" xfId="0" applyFont="1" applyBorder="1" applyAlignment="1">
      <alignment horizontal="left" vertical="top" wrapText="1"/>
    </xf>
    <xf numFmtId="0" fontId="2" fillId="35" borderId="10" xfId="0" applyFont="1" applyFill="1" applyBorder="1" applyAlignment="1" applyProtection="1">
      <alignment horizontal="justify" vertical="top" wrapText="1"/>
      <protection/>
    </xf>
    <xf numFmtId="0" fontId="7" fillId="0" borderId="10" xfId="0" applyFont="1" applyBorder="1" applyAlignment="1" applyProtection="1">
      <alignment horizontal="justify" vertical="top"/>
      <protection/>
    </xf>
    <xf numFmtId="0" fontId="2" fillId="35" borderId="10" xfId="0" applyFont="1" applyFill="1" applyBorder="1" applyAlignment="1" applyProtection="1">
      <alignment horizontal="justify" vertical="center" wrapText="1"/>
      <protection/>
    </xf>
    <xf numFmtId="0" fontId="2" fillId="0" borderId="10" xfId="0" applyFont="1" applyFill="1" applyBorder="1" applyAlignment="1">
      <alignment horizontal="justify" vertical="top" wrapText="1"/>
    </xf>
    <xf numFmtId="0" fontId="2" fillId="35" borderId="10" xfId="0" applyFont="1" applyFill="1" applyBorder="1" applyAlignment="1" applyProtection="1">
      <alignment horizontal="justify" vertical="top"/>
      <protection/>
    </xf>
    <xf numFmtId="0" fontId="2" fillId="0" borderId="10" xfId="0" applyFont="1" applyFill="1" applyBorder="1" applyAlignment="1" applyProtection="1">
      <alignment horizontal="justify" vertical="top"/>
      <protection/>
    </xf>
    <xf numFmtId="0" fontId="7" fillId="0" borderId="10" xfId="0" applyFont="1" applyFill="1" applyBorder="1" applyAlignment="1">
      <alignment vertical="top" wrapText="1"/>
    </xf>
    <xf numFmtId="0" fontId="6" fillId="0" borderId="10" xfId="0" applyFont="1" applyFill="1" applyBorder="1" applyAlignment="1">
      <alignment horizontal="justify" vertical="top"/>
    </xf>
    <xf numFmtId="0" fontId="7" fillId="0" borderId="10" xfId="0" applyFont="1" applyFill="1" applyBorder="1" applyAlignment="1">
      <alignment horizontal="justify" vertical="top"/>
    </xf>
    <xf numFmtId="0" fontId="7" fillId="36" borderId="10" xfId="0" applyFont="1" applyFill="1" applyBorder="1" applyAlignment="1">
      <alignment wrapText="1"/>
    </xf>
    <xf numFmtId="0" fontId="7" fillId="36" borderId="10" xfId="0" applyFont="1" applyFill="1" applyBorder="1" applyAlignment="1">
      <alignment/>
    </xf>
    <xf numFmtId="0" fontId="7" fillId="36" borderId="10" xfId="0" applyFont="1" applyFill="1" applyBorder="1" applyAlignment="1">
      <alignment vertical="center" wrapText="1"/>
    </xf>
    <xf numFmtId="0" fontId="7" fillId="36" borderId="10" xfId="0" applyFont="1" applyFill="1" applyBorder="1" applyAlignment="1">
      <alignment horizontal="left" wrapText="1"/>
    </xf>
    <xf numFmtId="0" fontId="3" fillId="34" borderId="10" xfId="0" applyFont="1" applyFill="1" applyBorder="1" applyAlignment="1">
      <alignment horizontal="center" vertical="center" textRotation="90" wrapText="1"/>
    </xf>
    <xf numFmtId="0" fontId="4" fillId="33" borderId="10" xfId="0" applyFont="1" applyFill="1" applyBorder="1" applyAlignment="1">
      <alignment vertical="top" wrapText="1"/>
    </xf>
    <xf numFmtId="0" fontId="2" fillId="35" borderId="10" xfId="0" applyFont="1" applyFill="1" applyBorder="1" applyAlignment="1">
      <alignment horizontal="left" vertical="center"/>
    </xf>
    <xf numFmtId="0" fontId="2" fillId="0" borderId="10" xfId="0" applyFont="1" applyFill="1" applyBorder="1" applyAlignment="1" applyProtection="1">
      <alignment horizontal="left" vertical="top"/>
      <protection locked="0"/>
    </xf>
    <xf numFmtId="0" fontId="3" fillId="34" borderId="10" xfId="0" applyFont="1" applyFill="1" applyBorder="1" applyAlignment="1">
      <alignment horizontal="left" vertical="top" wrapText="1"/>
    </xf>
    <xf numFmtId="0" fontId="2" fillId="34" borderId="10" xfId="0" applyFont="1" applyFill="1" applyBorder="1" applyAlignment="1">
      <alignment vertical="top" wrapText="1"/>
    </xf>
    <xf numFmtId="0" fontId="12" fillId="0" borderId="10" xfId="0" applyFont="1" applyBorder="1" applyAlignment="1">
      <alignment vertical="top"/>
    </xf>
    <xf numFmtId="0" fontId="7" fillId="0" borderId="10" xfId="0" applyFont="1" applyBorder="1" applyAlignment="1">
      <alignment vertical="center" wrapText="1"/>
    </xf>
    <xf numFmtId="0" fontId="2" fillId="35" borderId="10"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center"/>
      <protection locked="0"/>
    </xf>
    <xf numFmtId="0" fontId="7" fillId="0" borderId="10" xfId="0" applyFont="1" applyFill="1" applyBorder="1" applyAlignment="1">
      <alignment horizontal="left" vertical="center"/>
    </xf>
    <xf numFmtId="0" fontId="7" fillId="0" borderId="10" xfId="0" applyFont="1" applyFill="1" applyBorder="1" applyAlignment="1" applyProtection="1">
      <alignment horizontal="left" vertical="top" wrapText="1"/>
      <protection/>
    </xf>
    <xf numFmtId="0" fontId="2" fillId="35" borderId="10" xfId="0" applyFont="1" applyFill="1" applyBorder="1" applyAlignment="1">
      <alignment horizontal="center"/>
    </xf>
    <xf numFmtId="0" fontId="7" fillId="0" borderId="0" xfId="0" applyFont="1" applyBorder="1" applyAlignment="1">
      <alignment/>
    </xf>
    <xf numFmtId="0" fontId="2" fillId="0" borderId="0" xfId="0" applyFont="1" applyBorder="1" applyAlignment="1">
      <alignment/>
    </xf>
    <xf numFmtId="43" fontId="7" fillId="0" borderId="10" xfId="42" applyFont="1" applyBorder="1" applyAlignment="1">
      <alignment/>
    </xf>
    <xf numFmtId="43" fontId="11" fillId="0" borderId="10" xfId="42" applyFont="1" applyBorder="1" applyAlignment="1">
      <alignment/>
    </xf>
    <xf numFmtId="0" fontId="9" fillId="0" borderId="12" xfId="0" applyFont="1" applyBorder="1" applyAlignment="1">
      <alignment horizontal="left" vertical="top" wrapText="1"/>
    </xf>
    <xf numFmtId="0" fontId="6" fillId="0" borderId="13" xfId="0" applyFont="1" applyBorder="1" applyAlignment="1">
      <alignment horizontal="justify" vertical="top"/>
    </xf>
    <xf numFmtId="0" fontId="19" fillId="0" borderId="0" xfId="0" applyFont="1" applyFill="1" applyBorder="1" applyAlignment="1">
      <alignment/>
    </xf>
    <xf numFmtId="0" fontId="11" fillId="0" borderId="10" xfId="0" applyFont="1" applyBorder="1" applyAlignment="1">
      <alignment wrapText="1"/>
    </xf>
    <xf numFmtId="0" fontId="2" fillId="36" borderId="10" xfId="0" applyFont="1" applyFill="1" applyBorder="1" applyAlignment="1">
      <alignment horizontal="left" wrapText="1"/>
    </xf>
    <xf numFmtId="0" fontId="2" fillId="36" borderId="10" xfId="0" applyFont="1" applyFill="1" applyBorder="1" applyAlignment="1">
      <alignment wrapText="1"/>
    </xf>
    <xf numFmtId="0" fontId="2" fillId="36" borderId="10" xfId="0" applyFont="1" applyFill="1" applyBorder="1" applyAlignment="1">
      <alignment/>
    </xf>
    <xf numFmtId="0" fontId="7" fillId="0" borderId="10" xfId="0" applyFont="1" applyFill="1" applyBorder="1" applyAlignment="1">
      <alignment wrapText="1"/>
    </xf>
    <xf numFmtId="0" fontId="7" fillId="36" borderId="12" xfId="0" applyFont="1" applyFill="1" applyBorder="1" applyAlignment="1">
      <alignment horizontal="left" wrapText="1"/>
    </xf>
    <xf numFmtId="0" fontId="7" fillId="36" borderId="12" xfId="0" applyFont="1" applyFill="1" applyBorder="1" applyAlignment="1">
      <alignment/>
    </xf>
    <xf numFmtId="0" fontId="7" fillId="36" borderId="12" xfId="0" applyFont="1" applyFill="1" applyBorder="1" applyAlignment="1">
      <alignment wrapText="1"/>
    </xf>
    <xf numFmtId="0" fontId="2" fillId="33" borderId="12" xfId="0" applyFont="1" applyFill="1" applyBorder="1" applyAlignment="1">
      <alignment vertical="top" wrapText="1"/>
    </xf>
    <xf numFmtId="0" fontId="0" fillId="0" borderId="10" xfId="0" applyFill="1" applyBorder="1" applyAlignment="1">
      <alignment/>
    </xf>
    <xf numFmtId="0" fontId="0" fillId="0" borderId="10" xfId="0" applyBorder="1" applyAlignment="1">
      <alignment/>
    </xf>
    <xf numFmtId="0" fontId="3" fillId="0" borderId="10" xfId="0" applyFont="1" applyFill="1" applyBorder="1" applyAlignment="1">
      <alignment horizontal="center" vertical="center" textRotation="90" wrapText="1"/>
    </xf>
    <xf numFmtId="0" fontId="3" fillId="0" borderId="10" xfId="0" applyFont="1" applyFill="1" applyBorder="1" applyAlignment="1" quotePrefix="1">
      <alignment horizontal="center" vertical="top" wrapText="1"/>
    </xf>
    <xf numFmtId="0" fontId="3" fillId="0" borderId="10" xfId="0" applyFont="1" applyFill="1" applyBorder="1" applyAlignment="1">
      <alignment vertical="top" wrapText="1"/>
    </xf>
    <xf numFmtId="0" fontId="2" fillId="37" borderId="0" xfId="0" applyFont="1" applyFill="1" applyBorder="1" applyAlignment="1">
      <alignment horizontal="left"/>
    </xf>
    <xf numFmtId="0" fontId="2" fillId="37" borderId="0" xfId="0" applyFont="1" applyFill="1" applyBorder="1" applyAlignment="1">
      <alignment/>
    </xf>
    <xf numFmtId="0" fontId="2" fillId="33" borderId="10" xfId="0" applyFont="1" applyFill="1" applyBorder="1" applyAlignment="1">
      <alignment horizontal="center" wrapText="1"/>
    </xf>
    <xf numFmtId="0" fontId="12" fillId="0" borderId="10" xfId="0" applyFont="1" applyFill="1" applyBorder="1" applyAlignment="1">
      <alignment horizontal="center" vertical="top"/>
    </xf>
    <xf numFmtId="0" fontId="6" fillId="0" borderId="10" xfId="0" applyFont="1" applyFill="1" applyBorder="1" applyAlignment="1">
      <alignment horizontal="center" vertical="top"/>
    </xf>
    <xf numFmtId="0" fontId="7" fillId="0" borderId="10" xfId="0" applyFont="1" applyFill="1" applyBorder="1" applyAlignment="1">
      <alignment horizontal="center" vertical="top"/>
    </xf>
    <xf numFmtId="0" fontId="4" fillId="33" borderId="10" xfId="0" applyFont="1" applyFill="1" applyBorder="1" applyAlignment="1">
      <alignment horizontal="center"/>
    </xf>
    <xf numFmtId="0" fontId="2" fillId="35" borderId="10" xfId="0" applyFont="1" applyFill="1" applyBorder="1" applyAlignment="1">
      <alignment horizontal="center" vertical="top"/>
    </xf>
    <xf numFmtId="0" fontId="3" fillId="35" borderId="10" xfId="0" applyFont="1" applyFill="1" applyBorder="1" applyAlignment="1">
      <alignment horizontal="center" vertical="top"/>
    </xf>
    <xf numFmtId="0" fontId="9" fillId="0" borderId="10" xfId="0" applyFont="1" applyBorder="1" applyAlignment="1">
      <alignment horizontal="center" vertical="top"/>
    </xf>
    <xf numFmtId="0" fontId="10" fillId="0" borderId="10" xfId="0" applyFont="1" applyBorder="1" applyAlignment="1">
      <alignment horizontal="center" vertical="top"/>
    </xf>
    <xf numFmtId="0" fontId="0" fillId="0" borderId="0" xfId="0" applyFill="1" applyBorder="1" applyAlignment="1">
      <alignment horizontal="center"/>
    </xf>
    <xf numFmtId="0" fontId="5" fillId="0" borderId="0" xfId="0" applyFont="1" applyFill="1" applyBorder="1" applyAlignment="1">
      <alignment horizontal="center"/>
    </xf>
    <xf numFmtId="0" fontId="7" fillId="0" borderId="10" xfId="0" applyFont="1" applyBorder="1" applyAlignment="1">
      <alignment horizontal="center" vertical="top"/>
    </xf>
    <xf numFmtId="0" fontId="6" fillId="0" borderId="10" xfId="0" applyFont="1" applyBorder="1" applyAlignment="1">
      <alignment horizontal="center" vertical="top"/>
    </xf>
    <xf numFmtId="0" fontId="12" fillId="0" borderId="10" xfId="0" applyFont="1" applyBorder="1" applyAlignment="1">
      <alignment horizontal="center" vertical="top"/>
    </xf>
    <xf numFmtId="0" fontId="7" fillId="0" borderId="10" xfId="0" applyFont="1" applyFill="1" applyBorder="1" applyAlignment="1">
      <alignment horizontal="center"/>
    </xf>
    <xf numFmtId="0" fontId="2" fillId="33" borderId="10" xfId="0" applyFont="1" applyFill="1" applyBorder="1" applyAlignment="1">
      <alignment horizontal="center" vertical="top" wrapText="1"/>
    </xf>
    <xf numFmtId="0" fontId="7" fillId="0" borderId="10" xfId="0" applyFont="1" applyBorder="1" applyAlignment="1">
      <alignment horizontal="center"/>
    </xf>
    <xf numFmtId="0" fontId="11" fillId="0" borderId="10" xfId="0" applyFont="1" applyBorder="1" applyAlignment="1">
      <alignment horizontal="center"/>
    </xf>
    <xf numFmtId="0" fontId="6" fillId="0" borderId="13" xfId="0" applyFont="1" applyBorder="1" applyAlignment="1">
      <alignment horizontal="center" vertical="top"/>
    </xf>
    <xf numFmtId="0" fontId="7" fillId="0" borderId="10" xfId="0" applyFont="1" applyBorder="1" applyAlignment="1">
      <alignment horizontal="center" wrapText="1"/>
    </xf>
    <xf numFmtId="0" fontId="2" fillId="35" borderId="10" xfId="0" applyFont="1" applyFill="1" applyBorder="1" applyAlignment="1">
      <alignment horizontal="justify" vertical="top"/>
    </xf>
    <xf numFmtId="0" fontId="9" fillId="0" borderId="10" xfId="0" applyFont="1" applyFill="1" applyBorder="1" applyAlignment="1">
      <alignment horizontal="center" vertical="top"/>
    </xf>
    <xf numFmtId="0" fontId="9" fillId="0" borderId="10" xfId="0" applyFont="1" applyFill="1" applyBorder="1" applyAlignment="1" quotePrefix="1">
      <alignment horizontal="justify" vertical="top" wrapText="1"/>
    </xf>
    <xf numFmtId="0" fontId="9" fillId="0" borderId="10" xfId="0" applyFont="1" applyFill="1" applyBorder="1" applyAlignment="1">
      <alignment horizontal="justify" vertical="top" wrapText="1"/>
    </xf>
    <xf numFmtId="0" fontId="16" fillId="0" borderId="10" xfId="0" applyFont="1" applyBorder="1" applyAlignment="1">
      <alignment vertical="top" wrapText="1"/>
    </xf>
    <xf numFmtId="0" fontId="17" fillId="35" borderId="10" xfId="0" applyFont="1" applyFill="1" applyBorder="1" applyAlignment="1">
      <alignment horizontal="left" vertical="center" wrapText="1"/>
    </xf>
    <xf numFmtId="0" fontId="7" fillId="0" borderId="10" xfId="0" applyFont="1" applyFill="1" applyBorder="1" applyAlignment="1">
      <alignment horizontal="justify" vertical="top" wrapText="1"/>
    </xf>
    <xf numFmtId="0" fontId="2" fillId="38" borderId="10" xfId="0" applyFont="1" applyFill="1" applyBorder="1" applyAlignment="1">
      <alignment horizontal="justify" vertical="top" wrapText="1"/>
    </xf>
    <xf numFmtId="0" fontId="18" fillId="35" borderId="10" xfId="0" applyFont="1" applyFill="1" applyBorder="1" applyAlignment="1">
      <alignment horizontal="left" vertical="center" wrapText="1"/>
    </xf>
    <xf numFmtId="0" fontId="20" fillId="33" borderId="10" xfId="0" applyFont="1" applyFill="1" applyBorder="1" applyAlignment="1">
      <alignment horizontal="center" wrapText="1"/>
    </xf>
    <xf numFmtId="0" fontId="2"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9" fillId="36" borderId="10" xfId="0" applyFont="1" applyFill="1" applyBorder="1" applyAlignment="1">
      <alignment horizontal="left" wrapText="1"/>
    </xf>
    <xf numFmtId="0" fontId="9" fillId="36" borderId="12" xfId="0" applyFont="1" applyFill="1" applyBorder="1" applyAlignment="1">
      <alignment horizontal="left" wrapText="1"/>
    </xf>
    <xf numFmtId="0" fontId="2" fillId="0" borderId="10" xfId="0" applyFont="1" applyBorder="1" applyAlignment="1">
      <alignment wrapText="1"/>
    </xf>
    <xf numFmtId="2" fontId="9" fillId="0" borderId="10" xfId="0" applyNumberFormat="1" applyFont="1" applyBorder="1" applyAlignment="1">
      <alignment horizontal="center" vertical="top"/>
    </xf>
    <xf numFmtId="2" fontId="7" fillId="0" borderId="10" xfId="0" applyNumberFormat="1" applyFont="1" applyBorder="1" applyAlignment="1">
      <alignment horizontal="center" vertical="top"/>
    </xf>
    <xf numFmtId="2" fontId="7" fillId="0" borderId="10" xfId="0" applyNumberFormat="1" applyFont="1" applyFill="1" applyBorder="1" applyAlignment="1">
      <alignment horizontal="center"/>
    </xf>
    <xf numFmtId="2" fontId="3" fillId="35" borderId="10" xfId="0" applyNumberFormat="1" applyFont="1" applyFill="1" applyBorder="1" applyAlignment="1">
      <alignment horizontal="center" vertical="top" wrapText="1"/>
    </xf>
    <xf numFmtId="2" fontId="12" fillId="0" borderId="10" xfId="0" applyNumberFormat="1" applyFont="1" applyFill="1" applyBorder="1" applyAlignment="1">
      <alignment horizontal="center" vertical="top"/>
    </xf>
    <xf numFmtId="2" fontId="7" fillId="35" borderId="10" xfId="0" applyNumberFormat="1" applyFont="1" applyFill="1" applyBorder="1" applyAlignment="1">
      <alignment horizontal="center"/>
    </xf>
    <xf numFmtId="0" fontId="0" fillId="35" borderId="0" xfId="0" applyFill="1" applyBorder="1" applyAlignment="1">
      <alignment/>
    </xf>
    <xf numFmtId="2" fontId="3" fillId="34" borderId="10" xfId="0" applyNumberFormat="1" applyFont="1" applyFill="1" applyBorder="1" applyAlignment="1">
      <alignment horizontal="center" vertical="center" textRotation="90" wrapText="1"/>
    </xf>
    <xf numFmtId="2" fontId="2" fillId="33" borderId="10" xfId="0" applyNumberFormat="1" applyFont="1" applyFill="1" applyBorder="1" applyAlignment="1">
      <alignment horizontal="center" vertical="top" wrapText="1"/>
    </xf>
    <xf numFmtId="2" fontId="2" fillId="33" borderId="10" xfId="0" applyNumberFormat="1" applyFont="1" applyFill="1" applyBorder="1" applyAlignment="1">
      <alignment horizontal="center" wrapText="1"/>
    </xf>
    <xf numFmtId="2" fontId="2" fillId="0" borderId="10" xfId="0" applyNumberFormat="1" applyFont="1" applyFill="1" applyBorder="1" applyAlignment="1">
      <alignment horizontal="center" vertical="top" wrapText="1"/>
    </xf>
    <xf numFmtId="2" fontId="2" fillId="0" borderId="10" xfId="0" applyNumberFormat="1" applyFont="1" applyBorder="1" applyAlignment="1">
      <alignment horizontal="center" wrapText="1"/>
    </xf>
    <xf numFmtId="2" fontId="2" fillId="33" borderId="12" xfId="0" applyNumberFormat="1" applyFont="1" applyFill="1" applyBorder="1" applyAlignment="1">
      <alignment horizontal="center" vertical="top" wrapText="1"/>
    </xf>
    <xf numFmtId="2" fontId="2" fillId="34" borderId="10" xfId="0" applyNumberFormat="1" applyFont="1" applyFill="1" applyBorder="1" applyAlignment="1">
      <alignment horizontal="center" vertical="top" wrapText="1"/>
    </xf>
    <xf numFmtId="2" fontId="2" fillId="35" borderId="10" xfId="0" applyNumberFormat="1" applyFont="1" applyFill="1" applyBorder="1" applyAlignment="1">
      <alignment horizontal="center"/>
    </xf>
    <xf numFmtId="0" fontId="2" fillId="35" borderId="12" xfId="0" applyFont="1" applyFill="1" applyBorder="1" applyAlignment="1">
      <alignment horizontal="left" wrapText="1"/>
    </xf>
    <xf numFmtId="0" fontId="9" fillId="0" borderId="10" xfId="0" applyFont="1" applyBorder="1" applyAlignment="1">
      <alignment horizontal="center" vertical="top" wrapText="1"/>
    </xf>
    <xf numFmtId="0" fontId="7" fillId="0" borderId="10" xfId="0" applyFont="1" applyFill="1" applyBorder="1" applyAlignment="1">
      <alignment horizontal="center" wrapText="1"/>
    </xf>
    <xf numFmtId="0" fontId="7" fillId="36" borderId="10" xfId="0" applyFont="1" applyFill="1" applyBorder="1" applyAlignment="1">
      <alignment horizontal="center" wrapText="1"/>
    </xf>
    <xf numFmtId="0" fontId="11" fillId="0" borderId="10" xfId="0" applyFont="1" applyBorder="1" applyAlignment="1">
      <alignment horizontal="center" wrapText="1"/>
    </xf>
    <xf numFmtId="0" fontId="7" fillId="36" borderId="10" xfId="0" applyFont="1" applyFill="1" applyBorder="1" applyAlignment="1">
      <alignment horizontal="center" vertical="center" wrapText="1"/>
    </xf>
    <xf numFmtId="0" fontId="0" fillId="0" borderId="0" xfId="0" applyBorder="1" applyAlignment="1">
      <alignment horizontal="center"/>
    </xf>
    <xf numFmtId="0" fontId="2" fillId="37" borderId="0" xfId="0" applyFont="1" applyFill="1" applyBorder="1" applyAlignment="1">
      <alignment horizontal="center"/>
    </xf>
    <xf numFmtId="43" fontId="2" fillId="35" borderId="10" xfId="0" applyNumberFormat="1" applyFont="1" applyFill="1" applyBorder="1" applyAlignment="1">
      <alignment horizontal="center"/>
    </xf>
    <xf numFmtId="0" fontId="7" fillId="0" borderId="0" xfId="0" applyFont="1" applyBorder="1" applyAlignment="1">
      <alignment horizontal="center"/>
    </xf>
    <xf numFmtId="2" fontId="13" fillId="0" borderId="10" xfId="0" applyNumberFormat="1" applyFont="1" applyFill="1" applyBorder="1" applyAlignment="1">
      <alignment horizontal="center"/>
    </xf>
    <xf numFmtId="2" fontId="3" fillId="0" borderId="10" xfId="0" applyNumberFormat="1" applyFont="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4" borderId="10" xfId="0" applyNumberFormat="1" applyFont="1" applyFill="1" applyBorder="1" applyAlignment="1">
      <alignment horizontal="center" vertical="top" wrapText="1"/>
    </xf>
    <xf numFmtId="0" fontId="9" fillId="34" borderId="10" xfId="0" applyFont="1" applyFill="1" applyBorder="1" applyAlignment="1">
      <alignment horizontal="center" vertical="center" textRotation="90" wrapText="1"/>
    </xf>
    <xf numFmtId="0" fontId="9" fillId="34" borderId="10" xfId="0" applyFont="1" applyFill="1" applyBorder="1" applyAlignment="1" quotePrefix="1">
      <alignment horizontal="center" vertical="top" wrapText="1"/>
    </xf>
    <xf numFmtId="2" fontId="9" fillId="0" borderId="10" xfId="0" applyNumberFormat="1" applyFont="1" applyBorder="1" applyAlignment="1">
      <alignment horizontal="center" vertical="top" wrapText="1"/>
    </xf>
    <xf numFmtId="2" fontId="9" fillId="0" borderId="10" xfId="0" applyNumberFormat="1" applyFont="1" applyFill="1" applyBorder="1" applyAlignment="1">
      <alignment horizontal="center" vertical="top" wrapText="1"/>
    </xf>
    <xf numFmtId="0" fontId="0" fillId="0" borderId="0" xfId="0" applyFont="1" applyBorder="1" applyAlignment="1">
      <alignment horizontal="center"/>
    </xf>
    <xf numFmtId="0" fontId="0" fillId="0" borderId="0" xfId="0" applyFont="1" applyFill="1" applyBorder="1" applyAlignment="1">
      <alignment/>
    </xf>
    <xf numFmtId="2" fontId="4" fillId="33" borderId="10" xfId="0" applyNumberFormat="1" applyFont="1" applyFill="1" applyBorder="1" applyAlignment="1">
      <alignment horizontal="center"/>
    </xf>
    <xf numFmtId="0" fontId="22" fillId="0" borderId="0" xfId="0" applyFont="1" applyFill="1" applyBorder="1" applyAlignment="1">
      <alignment/>
    </xf>
    <xf numFmtId="2" fontId="2" fillId="35" borderId="10" xfId="0" applyNumberFormat="1" applyFont="1" applyFill="1" applyBorder="1" applyAlignment="1">
      <alignment horizontal="center" vertical="top"/>
    </xf>
    <xf numFmtId="2" fontId="4" fillId="35" borderId="10" xfId="0" applyNumberFormat="1" applyFont="1" applyFill="1" applyBorder="1" applyAlignment="1">
      <alignment horizontal="center"/>
    </xf>
    <xf numFmtId="0" fontId="23" fillId="0" borderId="0" xfId="0" applyFont="1" applyFill="1" applyBorder="1" applyAlignment="1">
      <alignment/>
    </xf>
    <xf numFmtId="2" fontId="3" fillId="35" borderId="10" xfId="0" applyNumberFormat="1" applyFont="1" applyFill="1" applyBorder="1" applyAlignment="1">
      <alignment horizontal="center" vertical="top"/>
    </xf>
    <xf numFmtId="0" fontId="3" fillId="35" borderId="10" xfId="0" applyFont="1" applyFill="1" applyBorder="1" applyAlignment="1">
      <alignment horizontal="center" vertical="top"/>
    </xf>
    <xf numFmtId="0" fontId="24" fillId="35" borderId="10" xfId="0" applyFont="1" applyFill="1" applyBorder="1" applyAlignment="1">
      <alignment horizontal="justify" vertical="top"/>
    </xf>
    <xf numFmtId="0" fontId="24" fillId="35" borderId="10" xfId="0" applyFont="1" applyFill="1" applyBorder="1" applyAlignment="1">
      <alignment horizontal="center" vertical="top"/>
    </xf>
    <xf numFmtId="2" fontId="24" fillId="35" borderId="10" xfId="0" applyNumberFormat="1" applyFont="1" applyFill="1" applyBorder="1" applyAlignment="1">
      <alignment horizontal="center" vertical="top"/>
    </xf>
    <xf numFmtId="0" fontId="22" fillId="0" borderId="0" xfId="0" applyFont="1" applyFill="1" applyBorder="1" applyAlignment="1">
      <alignment/>
    </xf>
    <xf numFmtId="0" fontId="2" fillId="35" borderId="10" xfId="0" applyFont="1" applyFill="1" applyBorder="1" applyAlignment="1">
      <alignment horizontal="left" vertical="top"/>
    </xf>
    <xf numFmtId="0" fontId="2" fillId="35" borderId="10" xfId="0" applyFont="1" applyFill="1" applyBorder="1" applyAlignment="1">
      <alignment horizontal="left" vertical="top" indent="4"/>
    </xf>
    <xf numFmtId="0" fontId="3" fillId="35" borderId="10" xfId="0" applyFont="1" applyFill="1" applyBorder="1" applyAlignment="1">
      <alignment horizontal="justify" vertical="top"/>
    </xf>
    <xf numFmtId="0" fontId="16" fillId="35" borderId="10" xfId="0" applyFont="1" applyFill="1" applyBorder="1" applyAlignment="1">
      <alignment horizontal="justify" vertical="top" wrapText="1"/>
    </xf>
    <xf numFmtId="0" fontId="3" fillId="35" borderId="10" xfId="0" applyFont="1" applyFill="1" applyBorder="1" applyAlignment="1">
      <alignment horizontal="justify" vertical="top"/>
    </xf>
    <xf numFmtId="2" fontId="3" fillId="35" borderId="10" xfId="0" applyNumberFormat="1" applyFont="1" applyFill="1" applyBorder="1" applyAlignment="1">
      <alignment horizontal="center" vertical="top" wrapText="1"/>
    </xf>
    <xf numFmtId="0" fontId="2" fillId="35" borderId="10" xfId="0" applyFont="1" applyFill="1" applyBorder="1" applyAlignment="1">
      <alignment/>
    </xf>
    <xf numFmtId="2" fontId="2" fillId="33" borderId="10" xfId="0" applyNumberFormat="1" applyFont="1" applyFill="1" applyBorder="1" applyAlignment="1">
      <alignment horizontal="center" vertical="top"/>
    </xf>
    <xf numFmtId="0" fontId="22" fillId="35" borderId="0" xfId="0" applyFont="1" applyFill="1" applyBorder="1" applyAlignment="1">
      <alignment/>
    </xf>
    <xf numFmtId="2" fontId="8" fillId="35" borderId="10" xfId="0" applyNumberFormat="1" applyFont="1" applyFill="1" applyBorder="1" applyAlignment="1">
      <alignment horizontal="center" vertical="top"/>
    </xf>
    <xf numFmtId="2" fontId="2" fillId="33" borderId="10" xfId="0" applyNumberFormat="1" applyFont="1" applyFill="1" applyBorder="1" applyAlignment="1">
      <alignment horizontal="center"/>
    </xf>
    <xf numFmtId="0" fontId="25" fillId="0" borderId="0" xfId="0" applyFont="1" applyFill="1" applyBorder="1" applyAlignment="1">
      <alignment/>
    </xf>
    <xf numFmtId="0" fontId="2" fillId="35" borderId="10" xfId="0" applyFont="1" applyFill="1" applyBorder="1" applyAlignment="1">
      <alignment horizontal="center" vertical="top" wrapText="1"/>
    </xf>
    <xf numFmtId="2" fontId="2" fillId="35" borderId="10" xfId="0" applyNumberFormat="1" applyFont="1" applyFill="1" applyBorder="1" applyAlignment="1">
      <alignment horizontal="center" vertical="top" wrapText="1"/>
    </xf>
    <xf numFmtId="0" fontId="2" fillId="36" borderId="10" xfId="0" applyFont="1" applyFill="1" applyBorder="1" applyAlignment="1">
      <alignment horizontal="center" wrapText="1"/>
    </xf>
    <xf numFmtId="0" fontId="2" fillId="35" borderId="10" xfId="0" applyFont="1" applyFill="1" applyBorder="1" applyAlignment="1">
      <alignment horizontal="left" wrapText="1"/>
    </xf>
    <xf numFmtId="0" fontId="7" fillId="0" borderId="10" xfId="0" applyFont="1" applyFill="1" applyBorder="1" applyAlignment="1" applyProtection="1">
      <alignment horizontal="justify" vertical="center" wrapText="1"/>
      <protection/>
    </xf>
    <xf numFmtId="9" fontId="26" fillId="0" borderId="10" xfId="60" applyFont="1" applyFill="1" applyBorder="1" applyAlignment="1" applyProtection="1">
      <alignment horizontal="right" vertical="top"/>
      <protection locked="0"/>
    </xf>
    <xf numFmtId="0" fontId="4" fillId="33" borderId="10" xfId="0" applyFont="1" applyFill="1" applyBorder="1" applyAlignment="1">
      <alignment horizontal="center" wrapText="1"/>
    </xf>
    <xf numFmtId="9" fontId="26" fillId="0" borderId="10" xfId="60" applyFont="1" applyFill="1" applyBorder="1" applyAlignment="1" applyProtection="1">
      <alignment horizontal="center" wrapText="1"/>
      <protection locked="0"/>
    </xf>
    <xf numFmtId="9" fontId="26" fillId="39" borderId="10" xfId="60" applyFont="1" applyFill="1" applyBorder="1" applyAlignment="1" applyProtection="1">
      <alignment horizontal="right" vertical="top"/>
      <protection locked="0"/>
    </xf>
    <xf numFmtId="9" fontId="26" fillId="40" borderId="10" xfId="60" applyFont="1" applyFill="1" applyBorder="1" applyAlignment="1" applyProtection="1">
      <alignment horizontal="right" vertical="top"/>
      <protection locked="0"/>
    </xf>
    <xf numFmtId="9" fontId="26" fillId="40" borderId="10" xfId="60" applyFont="1" applyFill="1" applyBorder="1" applyAlignment="1" applyProtection="1">
      <alignment horizontal="center" wrapText="1"/>
      <protection locked="0"/>
    </xf>
    <xf numFmtId="9" fontId="26" fillId="39" borderId="10" xfId="60" applyFont="1" applyFill="1" applyBorder="1" applyAlignment="1" applyProtection="1">
      <alignment horizontal="center" wrapText="1"/>
      <protection locked="0"/>
    </xf>
    <xf numFmtId="9" fontId="26" fillId="41" borderId="10" xfId="60" applyFont="1" applyFill="1" applyBorder="1" applyAlignment="1" applyProtection="1">
      <alignment horizontal="center" wrapText="1"/>
      <protection locked="0"/>
    </xf>
    <xf numFmtId="2" fontId="9" fillId="0" borderId="10" xfId="0" applyNumberFormat="1" applyFont="1" applyFill="1" applyBorder="1" applyAlignment="1">
      <alignment horizontal="center" vertical="top"/>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xf>
    <xf numFmtId="2" fontId="3" fillId="0" borderId="10" xfId="0" applyNumberFormat="1" applyFont="1" applyFill="1" applyBorder="1" applyAlignment="1">
      <alignment horizontal="center" vertical="top"/>
    </xf>
    <xf numFmtId="0" fontId="3" fillId="0" borderId="10" xfId="0" applyFont="1" applyFill="1" applyBorder="1" applyAlignment="1">
      <alignment horizontal="center" vertical="top"/>
    </xf>
    <xf numFmtId="0" fontId="9" fillId="0" borderId="10" xfId="0" applyFont="1" applyFill="1" applyBorder="1" applyAlignment="1">
      <alignment horizontal="left" vertical="top" wrapText="1"/>
    </xf>
    <xf numFmtId="0" fontId="2" fillId="0" borderId="10" xfId="0" applyFont="1" applyFill="1" applyBorder="1" applyAlignment="1">
      <alignment horizontal="center" vertical="top"/>
    </xf>
    <xf numFmtId="2" fontId="2" fillId="0" borderId="10" xfId="0" applyNumberFormat="1" applyFont="1" applyFill="1" applyBorder="1" applyAlignment="1">
      <alignment horizontal="center" vertical="top"/>
    </xf>
    <xf numFmtId="0" fontId="7" fillId="0" borderId="10" xfId="0"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Border="1" applyAlignment="1">
      <alignment/>
    </xf>
    <xf numFmtId="0" fontId="0" fillId="0" borderId="0" xfId="0" applyFont="1" applyFill="1" applyBorder="1" applyAlignment="1">
      <alignment horizontal="center"/>
    </xf>
    <xf numFmtId="0" fontId="2" fillId="34" borderId="10" xfId="0" applyFont="1" applyFill="1" applyBorder="1" applyAlignment="1">
      <alignment horizontal="center" vertical="top" wrapText="1"/>
    </xf>
    <xf numFmtId="2" fontId="4" fillId="35" borderId="10" xfId="0" applyNumberFormat="1" applyFont="1" applyFill="1" applyBorder="1" applyAlignment="1">
      <alignment horizontal="center" vertical="top"/>
    </xf>
    <xf numFmtId="9" fontId="27" fillId="0" borderId="10" xfId="60" applyFont="1" applyFill="1" applyBorder="1" applyAlignment="1" applyProtection="1">
      <alignment horizontal="center" vertical="center" wrapText="1"/>
      <protection locked="0"/>
    </xf>
    <xf numFmtId="0" fontId="3" fillId="0" borderId="10" xfId="0" applyFont="1" applyBorder="1" applyAlignment="1">
      <alignment horizontal="left" vertical="top" wrapText="1"/>
    </xf>
    <xf numFmtId="9" fontId="27" fillId="0" borderId="10" xfId="60" applyFont="1" applyFill="1" applyBorder="1" applyAlignment="1" applyProtection="1">
      <alignment horizontal="right" vertical="top"/>
      <protection locked="0"/>
    </xf>
    <xf numFmtId="1" fontId="3" fillId="0" borderId="10" xfId="0" applyNumberFormat="1" applyFont="1" applyBorder="1" applyAlignment="1">
      <alignment horizontal="center" vertical="top" wrapText="1"/>
    </xf>
    <xf numFmtId="9" fontId="27" fillId="40" borderId="10" xfId="60" applyFont="1" applyFill="1" applyBorder="1" applyAlignment="1" applyProtection="1">
      <alignment horizontal="center" wrapText="1"/>
      <protection locked="0"/>
    </xf>
    <xf numFmtId="9" fontId="27" fillId="40" borderId="10" xfId="60" applyFont="1" applyFill="1" applyBorder="1" applyAlignment="1" applyProtection="1">
      <alignment horizontal="right" vertical="top"/>
      <protection locked="0"/>
    </xf>
    <xf numFmtId="1" fontId="12" fillId="0" borderId="10" xfId="0" applyNumberFormat="1" applyFont="1" applyFill="1" applyBorder="1" applyAlignment="1">
      <alignment horizontal="center" vertical="top"/>
    </xf>
    <xf numFmtId="1" fontId="7" fillId="0" borderId="10" xfId="0" applyNumberFormat="1" applyFont="1" applyFill="1" applyBorder="1" applyAlignment="1">
      <alignment horizontal="center" vertical="top"/>
    </xf>
    <xf numFmtId="1" fontId="2" fillId="35" borderId="10" xfId="0" applyNumberFormat="1" applyFont="1" applyFill="1" applyBorder="1" applyAlignment="1">
      <alignment horizontal="center" vertical="top"/>
    </xf>
    <xf numFmtId="2" fontId="18" fillId="35" borderId="10" xfId="0" applyNumberFormat="1" applyFont="1" applyFill="1" applyBorder="1" applyAlignment="1">
      <alignment horizontal="left" vertical="center" wrapText="1"/>
    </xf>
    <xf numFmtId="2" fontId="18" fillId="35" borderId="10" xfId="0" applyNumberFormat="1" applyFont="1" applyFill="1" applyBorder="1" applyAlignment="1">
      <alignment horizontal="center" vertical="center" wrapText="1"/>
    </xf>
    <xf numFmtId="0" fontId="18" fillId="35" borderId="10" xfId="0" applyFont="1" applyFill="1" applyBorder="1" applyAlignment="1">
      <alignment horizontal="center" vertical="center" wrapText="1"/>
    </xf>
    <xf numFmtId="1" fontId="3" fillId="35" borderId="10" xfId="0" applyNumberFormat="1" applyFont="1" applyFill="1" applyBorder="1" applyAlignment="1">
      <alignment horizontal="center" vertical="top"/>
    </xf>
    <xf numFmtId="0" fontId="28" fillId="0" borderId="10" xfId="0" applyFont="1" applyFill="1" applyBorder="1" applyAlignment="1">
      <alignment vertical="top" wrapText="1"/>
    </xf>
    <xf numFmtId="0" fontId="28" fillId="0" borderId="10" xfId="0" applyFont="1" applyBorder="1" applyAlignment="1">
      <alignment vertical="top" wrapText="1"/>
    </xf>
    <xf numFmtId="0" fontId="28" fillId="0" borderId="10" xfId="0" applyFont="1" applyFill="1" applyBorder="1" applyAlignment="1">
      <alignment wrapText="1"/>
    </xf>
    <xf numFmtId="0" fontId="28" fillId="0" borderId="10" xfId="0" applyFont="1" applyFill="1" applyBorder="1" applyAlignment="1">
      <alignment horizontal="justify" vertical="top" wrapText="1"/>
    </xf>
    <xf numFmtId="0" fontId="28" fillId="0" borderId="10" xfId="0" applyFont="1" applyFill="1" applyBorder="1" applyAlignment="1">
      <alignment horizontal="justify" wrapText="1"/>
    </xf>
    <xf numFmtId="0" fontId="18" fillId="0" borderId="10" xfId="0" applyFont="1" applyFill="1" applyBorder="1" applyAlignment="1">
      <alignment horizontal="justify" vertical="top" wrapText="1"/>
    </xf>
    <xf numFmtId="0" fontId="18" fillId="0" borderId="10" xfId="0" applyFont="1" applyFill="1" applyBorder="1" applyAlignment="1">
      <alignment vertical="top" wrapText="1"/>
    </xf>
    <xf numFmtId="0" fontId="28" fillId="0" borderId="10" xfId="0" applyFont="1" applyFill="1" applyBorder="1" applyAlignment="1">
      <alignment horizontal="left" vertical="top" wrapText="1"/>
    </xf>
    <xf numFmtId="0" fontId="18" fillId="0" borderId="10" xfId="0" applyFont="1" applyFill="1" applyBorder="1" applyAlignment="1">
      <alignment horizontal="left" vertical="top" wrapText="1"/>
    </xf>
    <xf numFmtId="9" fontId="26" fillId="0" borderId="13" xfId="60" applyFont="1" applyFill="1" applyBorder="1" applyAlignment="1" applyProtection="1">
      <alignment horizontal="center" wrapText="1"/>
      <protection locked="0"/>
    </xf>
    <xf numFmtId="9" fontId="26" fillId="0" borderId="0" xfId="60" applyFont="1" applyFill="1" applyBorder="1" applyAlignment="1" applyProtection="1">
      <alignment horizontal="center" wrapText="1"/>
      <protection locked="0"/>
    </xf>
    <xf numFmtId="0" fontId="2" fillId="0" borderId="10" xfId="0" applyFont="1" applyFill="1" applyBorder="1" applyAlignment="1" applyProtection="1">
      <alignment horizontal="justify" vertical="center"/>
      <protection/>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9" fontId="26" fillId="0" borderId="10" xfId="60" applyFont="1" applyFill="1" applyBorder="1" applyAlignment="1" applyProtection="1">
      <alignment horizontal="center" vertical="center" wrapText="1"/>
      <protection locked="0"/>
    </xf>
    <xf numFmtId="9" fontId="26" fillId="0" borderId="10" xfId="60" applyFont="1" applyFill="1" applyBorder="1" applyAlignment="1" applyProtection="1">
      <alignment horizontal="right" vertical="center"/>
      <protection locked="0"/>
    </xf>
    <xf numFmtId="2" fontId="9" fillId="0" borderId="10" xfId="0" applyNumberFormat="1" applyFont="1" applyBorder="1" applyAlignment="1">
      <alignment horizontal="center" vertical="center" wrapText="1"/>
    </xf>
    <xf numFmtId="0" fontId="24" fillId="40" borderId="10" xfId="0" applyFont="1" applyFill="1" applyBorder="1" applyAlignment="1">
      <alignment horizontal="justify" vertical="top" wrapText="1"/>
    </xf>
    <xf numFmtId="0" fontId="7" fillId="41" borderId="10" xfId="0" applyFont="1" applyFill="1" applyBorder="1" applyAlignment="1">
      <alignment/>
    </xf>
    <xf numFmtId="0" fontId="7" fillId="41" borderId="10" xfId="0" applyFont="1" applyFill="1" applyBorder="1" applyAlignment="1">
      <alignment vertical="top" wrapText="1"/>
    </xf>
    <xf numFmtId="0" fontId="7" fillId="41" borderId="10" xfId="0" applyFont="1" applyFill="1" applyBorder="1" applyAlignment="1">
      <alignment horizontal="left" vertical="center"/>
    </xf>
    <xf numFmtId="0" fontId="2" fillId="41" borderId="10" xfId="0" applyFont="1" applyFill="1" applyBorder="1" applyAlignment="1">
      <alignment horizontal="justify" vertical="top" wrapText="1"/>
    </xf>
    <xf numFmtId="0" fontId="18" fillId="41" borderId="10" xfId="0" applyFont="1" applyFill="1" applyBorder="1" applyAlignment="1">
      <alignment horizontal="left" vertical="center" wrapText="1"/>
    </xf>
    <xf numFmtId="43" fontId="2" fillId="40" borderId="10" xfId="42" applyFont="1" applyFill="1" applyBorder="1" applyAlignment="1">
      <alignment horizontal="center"/>
    </xf>
    <xf numFmtId="171" fontId="7" fillId="0" borderId="10" xfId="0" applyNumberFormat="1" applyFont="1" applyBorder="1" applyAlignment="1">
      <alignment horizontal="center" vertical="top"/>
    </xf>
    <xf numFmtId="171" fontId="7" fillId="0" borderId="10" xfId="0" applyNumberFormat="1" applyFont="1" applyBorder="1" applyAlignment="1">
      <alignment horizontal="center"/>
    </xf>
    <xf numFmtId="171" fontId="7" fillId="0" borderId="10" xfId="0" applyNumberFormat="1" applyFont="1" applyBorder="1" applyAlignment="1">
      <alignment/>
    </xf>
    <xf numFmtId="171" fontId="7" fillId="40" borderId="10" xfId="0" applyNumberFormat="1" applyFont="1" applyFill="1" applyBorder="1" applyAlignment="1">
      <alignment horizontal="center" vertical="top"/>
    </xf>
    <xf numFmtId="171" fontId="2" fillId="35" borderId="10" xfId="0" applyNumberFormat="1" applyFont="1" applyFill="1" applyBorder="1" applyAlignment="1">
      <alignment horizontal="center"/>
    </xf>
    <xf numFmtId="171" fontId="7" fillId="35" borderId="10" xfId="0" applyNumberFormat="1" applyFont="1" applyFill="1" applyBorder="1" applyAlignment="1">
      <alignment horizontal="center"/>
    </xf>
    <xf numFmtId="171" fontId="0" fillId="0" borderId="0" xfId="0" applyNumberFormat="1" applyBorder="1" applyAlignment="1">
      <alignment/>
    </xf>
    <xf numFmtId="0" fontId="2" fillId="40" borderId="12" xfId="0" applyFont="1" applyFill="1" applyBorder="1" applyAlignment="1">
      <alignment wrapText="1"/>
    </xf>
    <xf numFmtId="0" fontId="7" fillId="40" borderId="10" xfId="0" applyFont="1" applyFill="1" applyBorder="1" applyAlignment="1">
      <alignment/>
    </xf>
    <xf numFmtId="0" fontId="2" fillId="40" borderId="10" xfId="0" applyFont="1" applyFill="1" applyBorder="1" applyAlignment="1">
      <alignment/>
    </xf>
    <xf numFmtId="2" fontId="2" fillId="40" borderId="10" xfId="0" applyNumberFormat="1" applyFont="1" applyFill="1" applyBorder="1" applyAlignment="1">
      <alignment horizontal="center"/>
    </xf>
    <xf numFmtId="2" fontId="3" fillId="40" borderId="10" xfId="0" applyNumberFormat="1" applyFont="1" applyFill="1" applyBorder="1" applyAlignment="1">
      <alignment horizontal="center" vertical="top" wrapText="1"/>
    </xf>
    <xf numFmtId="2" fontId="9" fillId="40" borderId="10" xfId="0" applyNumberFormat="1" applyFont="1" applyFill="1" applyBorder="1" applyAlignment="1">
      <alignment horizontal="center" vertical="top"/>
    </xf>
    <xf numFmtId="0" fontId="7" fillId="36" borderId="10" xfId="0" applyFont="1" applyFill="1" applyBorder="1" applyAlignment="1">
      <alignment horizontal="left"/>
    </xf>
    <xf numFmtId="0" fontId="3" fillId="33" borderId="10" xfId="0" applyFont="1" applyFill="1" applyBorder="1" applyAlignment="1">
      <alignment horizontal="left" vertical="top"/>
    </xf>
    <xf numFmtId="0" fontId="7" fillId="0" borderId="10" xfId="0" applyFont="1" applyBorder="1" applyAlignment="1">
      <alignment horizontal="left" vertical="top"/>
    </xf>
    <xf numFmtId="0" fontId="7" fillId="41" borderId="10" xfId="0" applyFont="1" applyFill="1" applyBorder="1" applyAlignment="1">
      <alignment horizontal="left" vertical="top"/>
    </xf>
    <xf numFmtId="0" fontId="2" fillId="0" borderId="10" xfId="0" applyFont="1" applyBorder="1" applyAlignment="1">
      <alignment horizontal="left" vertical="top"/>
    </xf>
    <xf numFmtId="0" fontId="7" fillId="0" borderId="10" xfId="0" applyFont="1" applyFill="1" applyBorder="1" applyAlignment="1">
      <alignment horizontal="left" vertical="top"/>
    </xf>
    <xf numFmtId="0" fontId="2" fillId="0" borderId="10" xfId="0" applyFont="1" applyFill="1" applyBorder="1" applyAlignment="1">
      <alignment horizontal="left" vertical="top"/>
    </xf>
    <xf numFmtId="0" fontId="2" fillId="40" borderId="10" xfId="0" applyFont="1" applyFill="1" applyBorder="1" applyAlignment="1">
      <alignment horizontal="left" vertical="top"/>
    </xf>
    <xf numFmtId="0" fontId="7" fillId="41" borderId="10" xfId="0" applyFont="1" applyFill="1" applyBorder="1" applyAlignment="1">
      <alignment horizontal="left"/>
    </xf>
    <xf numFmtId="0" fontId="2" fillId="35" borderId="10" xfId="0" applyFont="1" applyFill="1" applyBorder="1" applyAlignment="1">
      <alignment horizontal="left"/>
    </xf>
    <xf numFmtId="0" fontId="7" fillId="0" borderId="10" xfId="0" applyFont="1" applyBorder="1" applyAlignment="1">
      <alignment horizontal="left"/>
    </xf>
    <xf numFmtId="0" fontId="7" fillId="0" borderId="10" xfId="0" applyFont="1" applyBorder="1" applyAlignment="1">
      <alignment horizontal="left" vertical="center" wrapText="1"/>
    </xf>
    <xf numFmtId="0" fontId="2" fillId="0" borderId="10" xfId="0" applyFont="1" applyBorder="1" applyAlignment="1">
      <alignment horizontal="left"/>
    </xf>
    <xf numFmtId="0" fontId="7" fillId="0" borderId="10"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Fill="1" applyBorder="1" applyAlignment="1">
      <alignment horizontal="left"/>
    </xf>
    <xf numFmtId="0" fontId="2" fillId="0" borderId="10" xfId="0" applyFont="1" applyFill="1" applyBorder="1" applyAlignment="1">
      <alignment horizontal="left"/>
    </xf>
    <xf numFmtId="0" fontId="7" fillId="0" borderId="10" xfId="0" applyFont="1" applyFill="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9" fillId="0" borderId="10" xfId="0" applyFont="1" applyFill="1" applyBorder="1" applyAlignment="1">
      <alignment horizontal="left" vertical="top"/>
    </xf>
    <xf numFmtId="0" fontId="9" fillId="36" borderId="10" xfId="0" applyFont="1" applyFill="1" applyBorder="1" applyAlignment="1">
      <alignment horizontal="left" vertical="top"/>
    </xf>
    <xf numFmtId="0" fontId="3" fillId="36" borderId="10" xfId="0" applyFont="1" applyFill="1" applyBorder="1" applyAlignment="1">
      <alignment horizontal="left" vertical="top"/>
    </xf>
    <xf numFmtId="0" fontId="2" fillId="38" borderId="10" xfId="0" applyFont="1" applyFill="1" applyBorder="1" applyAlignment="1">
      <alignment horizontal="left" vertical="top" wrapText="1"/>
    </xf>
    <xf numFmtId="0" fontId="7" fillId="41"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7" fillId="41" borderId="10" xfId="0" applyFont="1" applyFill="1" applyBorder="1" applyAlignment="1">
      <alignment horizontal="left" vertical="center" wrapText="1"/>
    </xf>
    <xf numFmtId="0" fontId="2" fillId="41" borderId="10" xfId="0" applyFont="1" applyFill="1" applyBorder="1" applyAlignment="1">
      <alignment horizontal="left" vertical="top" wrapText="1"/>
    </xf>
    <xf numFmtId="0" fontId="2" fillId="40" borderId="10" xfId="0" applyFont="1" applyFill="1" applyBorder="1" applyAlignment="1">
      <alignment horizontal="left" vertical="top" wrapText="1"/>
    </xf>
    <xf numFmtId="0" fontId="3" fillId="35" borderId="10" xfId="0" applyFont="1" applyFill="1" applyBorder="1" applyAlignment="1">
      <alignment horizontal="left" vertical="top"/>
    </xf>
    <xf numFmtId="0" fontId="3" fillId="0" borderId="10" xfId="0" applyFont="1" applyBorder="1" applyAlignment="1">
      <alignment horizontal="left" vertical="center" wrapText="1"/>
    </xf>
    <xf numFmtId="0" fontId="22" fillId="41" borderId="10" xfId="0" applyFont="1" applyFill="1" applyBorder="1" applyAlignment="1">
      <alignment horizontal="left"/>
    </xf>
    <xf numFmtId="0" fontId="9" fillId="41" borderId="10" xfId="0" applyFont="1" applyFill="1" applyBorder="1" applyAlignment="1">
      <alignment horizontal="left" vertical="top"/>
    </xf>
    <xf numFmtId="0" fontId="0" fillId="41" borderId="10" xfId="0" applyFill="1" applyBorder="1" applyAlignment="1">
      <alignment horizontal="left"/>
    </xf>
    <xf numFmtId="0" fontId="23" fillId="41" borderId="10" xfId="0" applyFont="1" applyFill="1" applyBorder="1" applyAlignment="1">
      <alignment horizontal="left"/>
    </xf>
    <xf numFmtId="0" fontId="7" fillId="40" borderId="10" xfId="0" applyFont="1" applyFill="1" applyBorder="1" applyAlignment="1">
      <alignment horizontal="left" wrapText="1"/>
    </xf>
    <xf numFmtId="0" fontId="7" fillId="0" borderId="0" xfId="0" applyFont="1" applyBorder="1" applyAlignment="1">
      <alignment horizontal="left"/>
    </xf>
    <xf numFmtId="0" fontId="2" fillId="37" borderId="0" xfId="0" applyFont="1" applyFill="1" applyBorder="1" applyAlignment="1">
      <alignment horizontal="left" vertical="center"/>
    </xf>
    <xf numFmtId="0" fontId="2" fillId="0" borderId="14" xfId="0" applyFont="1" applyFill="1" applyBorder="1" applyAlignment="1">
      <alignment horizontal="left" vertical="center"/>
    </xf>
    <xf numFmtId="0" fontId="0" fillId="0" borderId="0" xfId="0" applyBorder="1" applyAlignment="1">
      <alignment horizontal="left"/>
    </xf>
    <xf numFmtId="0" fontId="0" fillId="0" borderId="0" xfId="0" applyFont="1" applyBorder="1" applyAlignment="1">
      <alignment horizontal="left"/>
    </xf>
    <xf numFmtId="0" fontId="2" fillId="36" borderId="0" xfId="0" applyFont="1" applyFill="1" applyBorder="1" applyAlignment="1">
      <alignment horizontal="left"/>
    </xf>
    <xf numFmtId="0" fontId="2" fillId="0" borderId="0" xfId="0" applyFont="1" applyBorder="1" applyAlignment="1">
      <alignment horizontal="left"/>
    </xf>
    <xf numFmtId="0" fontId="0" fillId="0" borderId="15" xfId="0" applyBorder="1" applyAlignment="1">
      <alignment horizontal="left"/>
    </xf>
    <xf numFmtId="0" fontId="3" fillId="35" borderId="10" xfId="0" applyFont="1" applyFill="1" applyBorder="1" applyAlignment="1">
      <alignment horizontal="center" vertical="top" wrapText="1"/>
    </xf>
    <xf numFmtId="0" fontId="68" fillId="40" borderId="0" xfId="0" applyFont="1" applyFill="1" applyAlignment="1">
      <alignment/>
    </xf>
    <xf numFmtId="2" fontId="3" fillId="34" borderId="10" xfId="0" applyNumberFormat="1" applyFont="1" applyFill="1" applyBorder="1" applyAlignment="1">
      <alignment horizontal="left" vertical="center" textRotation="90" wrapText="1"/>
    </xf>
    <xf numFmtId="2" fontId="3" fillId="34" borderId="10" xfId="0" applyNumberFormat="1" applyFont="1" applyFill="1" applyBorder="1" applyAlignment="1" quotePrefix="1">
      <alignment horizontal="left" vertical="top" wrapText="1"/>
    </xf>
    <xf numFmtId="2" fontId="4" fillId="33" borderId="10" xfId="0" applyNumberFormat="1" applyFont="1" applyFill="1" applyBorder="1" applyAlignment="1">
      <alignment horizontal="left"/>
    </xf>
    <xf numFmtId="2" fontId="2" fillId="35" borderId="10" xfId="0" applyNumberFormat="1" applyFont="1" applyFill="1" applyBorder="1" applyAlignment="1">
      <alignment horizontal="left" vertical="top"/>
    </xf>
    <xf numFmtId="2" fontId="3" fillId="35" borderId="10" xfId="0" applyNumberFormat="1" applyFont="1" applyFill="1" applyBorder="1" applyAlignment="1">
      <alignment horizontal="left" vertical="top"/>
    </xf>
    <xf numFmtId="2" fontId="9" fillId="0" borderId="10" xfId="0" applyNumberFormat="1" applyFont="1" applyBorder="1" applyAlignment="1">
      <alignment horizontal="left" vertical="top"/>
    </xf>
    <xf numFmtId="2" fontId="10" fillId="0" borderId="10" xfId="0" applyNumberFormat="1" applyFont="1" applyBorder="1" applyAlignment="1">
      <alignment horizontal="left" vertical="top"/>
    </xf>
    <xf numFmtId="2" fontId="9" fillId="0" borderId="10" xfId="0" applyNumberFormat="1" applyFont="1" applyBorder="1" applyAlignment="1">
      <alignment horizontal="left" vertical="top"/>
    </xf>
    <xf numFmtId="2" fontId="9" fillId="0" borderId="10" xfId="0" applyNumberFormat="1" applyFont="1" applyFill="1" applyBorder="1" applyAlignment="1">
      <alignment horizontal="left" vertical="top"/>
    </xf>
    <xf numFmtId="2" fontId="2" fillId="0" borderId="10" xfId="0" applyNumberFormat="1" applyFont="1" applyFill="1" applyBorder="1" applyAlignment="1">
      <alignment horizontal="left" vertical="top"/>
    </xf>
    <xf numFmtId="2" fontId="3" fillId="0" borderId="10" xfId="0" applyNumberFormat="1" applyFont="1" applyFill="1" applyBorder="1" applyAlignment="1">
      <alignment horizontal="left" vertical="top"/>
    </xf>
    <xf numFmtId="0" fontId="9" fillId="0" borderId="10" xfId="0" applyFont="1" applyFill="1" applyBorder="1" applyAlignment="1" quotePrefix="1">
      <alignment horizontal="left" vertical="top" wrapText="1"/>
    </xf>
    <xf numFmtId="2" fontId="6" fillId="0" borderId="10" xfId="0" applyNumberFormat="1" applyFont="1" applyBorder="1" applyAlignment="1">
      <alignment horizontal="left" vertical="top"/>
    </xf>
    <xf numFmtId="2" fontId="7" fillId="0" borderId="10" xfId="0" applyNumberFormat="1" applyFont="1" applyBorder="1" applyAlignment="1">
      <alignment horizontal="left" vertical="top"/>
    </xf>
    <xf numFmtId="2" fontId="9" fillId="0" borderId="10" xfId="0" applyNumberFormat="1" applyFont="1" applyBorder="1" applyAlignment="1">
      <alignment horizontal="left" vertical="top" wrapText="1"/>
    </xf>
    <xf numFmtId="2" fontId="3" fillId="0" borderId="10" xfId="0" applyNumberFormat="1" applyFont="1" applyBorder="1" applyAlignment="1">
      <alignment horizontal="left" vertical="top" wrapText="1"/>
    </xf>
    <xf numFmtId="2" fontId="24" fillId="35" borderId="10" xfId="0" applyNumberFormat="1" applyFont="1" applyFill="1" applyBorder="1" applyAlignment="1">
      <alignment horizontal="left" vertical="top"/>
    </xf>
    <xf numFmtId="2" fontId="6" fillId="0" borderId="10" xfId="0" applyNumberFormat="1" applyFont="1" applyFill="1" applyBorder="1" applyAlignment="1">
      <alignment horizontal="left" vertical="top"/>
    </xf>
    <xf numFmtId="2" fontId="7" fillId="0" borderId="10" xfId="0" applyNumberFormat="1" applyFont="1" applyFill="1" applyBorder="1" applyAlignment="1">
      <alignment horizontal="left"/>
    </xf>
    <xf numFmtId="2" fontId="3" fillId="35" borderId="10" xfId="0" applyNumberFormat="1" applyFont="1" applyFill="1" applyBorder="1" applyAlignment="1">
      <alignment horizontal="left" vertical="top"/>
    </xf>
    <xf numFmtId="2" fontId="3" fillId="35" borderId="10" xfId="0" applyNumberFormat="1" applyFont="1" applyFill="1" applyBorder="1" applyAlignment="1">
      <alignment horizontal="left" vertical="top" wrapText="1"/>
    </xf>
    <xf numFmtId="2" fontId="2" fillId="33" borderId="10" xfId="0" applyNumberFormat="1" applyFont="1" applyFill="1" applyBorder="1" applyAlignment="1">
      <alignment horizontal="left" vertical="top"/>
    </xf>
    <xf numFmtId="2" fontId="2" fillId="35" borderId="10" xfId="0" applyNumberFormat="1" applyFont="1" applyFill="1" applyBorder="1" applyAlignment="1">
      <alignment horizontal="left"/>
    </xf>
    <xf numFmtId="2" fontId="7" fillId="0" borderId="10" xfId="0" applyNumberFormat="1" applyFont="1" applyBorder="1" applyAlignment="1">
      <alignment horizontal="left"/>
    </xf>
    <xf numFmtId="2" fontId="7" fillId="0" borderId="10" xfId="0" applyNumberFormat="1" applyFont="1" applyFill="1" applyBorder="1" applyAlignment="1">
      <alignment horizontal="left" wrapText="1"/>
    </xf>
    <xf numFmtId="2" fontId="12" fillId="0" borderId="10" xfId="0" applyNumberFormat="1" applyFont="1" applyBorder="1" applyAlignment="1">
      <alignment horizontal="left" vertical="top"/>
    </xf>
    <xf numFmtId="2" fontId="6" fillId="0" borderId="13" xfId="0" applyNumberFormat="1" applyFont="1" applyBorder="1" applyAlignment="1">
      <alignment horizontal="left" vertical="top"/>
    </xf>
    <xf numFmtId="2" fontId="12" fillId="0" borderId="10" xfId="0" applyNumberFormat="1" applyFont="1" applyFill="1" applyBorder="1" applyAlignment="1">
      <alignment horizontal="left" vertical="top"/>
    </xf>
    <xf numFmtId="2" fontId="7" fillId="0" borderId="10" xfId="0" applyNumberFormat="1" applyFont="1" applyFill="1" applyBorder="1" applyAlignment="1">
      <alignment horizontal="left" vertical="top"/>
    </xf>
    <xf numFmtId="2" fontId="7" fillId="0" borderId="10" xfId="0" applyNumberFormat="1" applyFont="1" applyFill="1" applyBorder="1" applyAlignment="1">
      <alignment horizontal="left" vertical="center"/>
    </xf>
    <xf numFmtId="2" fontId="2" fillId="33" borderId="10" xfId="0" applyNumberFormat="1" applyFont="1" applyFill="1" applyBorder="1" applyAlignment="1">
      <alignment horizontal="left" vertical="top" wrapText="1"/>
    </xf>
    <xf numFmtId="2" fontId="7" fillId="0" borderId="10" xfId="0" applyNumberFormat="1" applyFont="1" applyBorder="1" applyAlignment="1">
      <alignment horizontal="left" wrapText="1"/>
    </xf>
    <xf numFmtId="2" fontId="2" fillId="33" borderId="10" xfId="0" applyNumberFormat="1" applyFont="1" applyFill="1" applyBorder="1" applyAlignment="1">
      <alignment horizontal="left"/>
    </xf>
    <xf numFmtId="2" fontId="7" fillId="36" borderId="10" xfId="0" applyNumberFormat="1" applyFont="1" applyFill="1" applyBorder="1" applyAlignment="1">
      <alignment horizontal="left" wrapText="1"/>
    </xf>
    <xf numFmtId="2" fontId="2" fillId="33" borderId="10" xfId="0" applyNumberFormat="1" applyFont="1" applyFill="1" applyBorder="1" applyAlignment="1">
      <alignment horizontal="left" wrapText="1"/>
    </xf>
    <xf numFmtId="2" fontId="0" fillId="0" borderId="0" xfId="0" applyNumberFormat="1" applyFont="1" applyFill="1" applyBorder="1" applyAlignment="1">
      <alignment horizontal="left"/>
    </xf>
    <xf numFmtId="2" fontId="7" fillId="36" borderId="10" xfId="0" applyNumberFormat="1" applyFont="1" applyFill="1" applyBorder="1" applyAlignment="1">
      <alignment horizontal="left" vertical="center" wrapText="1"/>
    </xf>
    <xf numFmtId="2" fontId="2" fillId="0" borderId="10" xfId="0" applyNumberFormat="1" applyFont="1" applyFill="1" applyBorder="1" applyAlignment="1">
      <alignment horizontal="left" vertical="top" wrapText="1"/>
    </xf>
    <xf numFmtId="2" fontId="2" fillId="35" borderId="10" xfId="0" applyNumberFormat="1" applyFont="1" applyFill="1" applyBorder="1" applyAlignment="1">
      <alignment horizontal="left" vertical="top" wrapText="1"/>
    </xf>
    <xf numFmtId="2" fontId="0" fillId="0" borderId="0" xfId="0" applyNumberFormat="1" applyBorder="1" applyAlignment="1">
      <alignment horizontal="left"/>
    </xf>
    <xf numFmtId="2" fontId="7" fillId="0" borderId="10" xfId="0" applyNumberFormat="1" applyFont="1" applyFill="1" applyBorder="1" applyAlignment="1">
      <alignment horizontal="left" vertical="top" wrapText="1"/>
    </xf>
    <xf numFmtId="2" fontId="2" fillId="36" borderId="10" xfId="0" applyNumberFormat="1" applyFont="1" applyFill="1" applyBorder="1" applyAlignment="1">
      <alignment horizontal="left" wrapText="1"/>
    </xf>
    <xf numFmtId="2" fontId="2" fillId="0" borderId="10" xfId="0" applyNumberFormat="1" applyFont="1" applyBorder="1" applyAlignment="1">
      <alignment horizontal="left" wrapText="1"/>
    </xf>
    <xf numFmtId="2" fontId="2" fillId="40" borderId="10" xfId="0" applyNumberFormat="1" applyFont="1" applyFill="1" applyBorder="1" applyAlignment="1">
      <alignment horizontal="left"/>
    </xf>
    <xf numFmtId="2" fontId="2" fillId="33" borderId="12" xfId="0" applyNumberFormat="1" applyFont="1" applyFill="1" applyBorder="1" applyAlignment="1">
      <alignment horizontal="left" vertical="top" wrapText="1"/>
    </xf>
    <xf numFmtId="2" fontId="2" fillId="34" borderId="10" xfId="0" applyNumberFormat="1" applyFont="1" applyFill="1" applyBorder="1" applyAlignment="1">
      <alignment horizontal="left" vertical="top" wrapText="1"/>
    </xf>
    <xf numFmtId="2" fontId="2" fillId="37" borderId="0" xfId="0" applyNumberFormat="1" applyFont="1" applyFill="1" applyBorder="1" applyAlignment="1">
      <alignment horizontal="left"/>
    </xf>
    <xf numFmtId="171" fontId="7" fillId="0" borderId="10" xfId="0" applyNumberFormat="1" applyFont="1" applyBorder="1" applyAlignment="1">
      <alignment horizontal="left" vertical="top"/>
    </xf>
    <xf numFmtId="171" fontId="7" fillId="0" borderId="10" xfId="0" applyNumberFormat="1" applyFont="1" applyBorder="1" applyAlignment="1">
      <alignment horizontal="left"/>
    </xf>
    <xf numFmtId="171" fontId="2" fillId="35" borderId="10" xfId="0" applyNumberFormat="1" applyFont="1" applyFill="1" applyBorder="1" applyAlignment="1">
      <alignment horizontal="left"/>
    </xf>
    <xf numFmtId="2" fontId="7" fillId="0" borderId="0" xfId="0" applyNumberFormat="1" applyFont="1" applyBorder="1" applyAlignment="1">
      <alignment horizontal="left"/>
    </xf>
    <xf numFmtId="181" fontId="2" fillId="35" borderId="10" xfId="0" applyNumberFormat="1" applyFont="1" applyFill="1" applyBorder="1" applyAlignment="1">
      <alignment horizontal="center" vertical="top"/>
    </xf>
    <xf numFmtId="179" fontId="7" fillId="0" borderId="10" xfId="0" applyNumberFormat="1" applyFont="1" applyBorder="1" applyAlignment="1">
      <alignment horizontal="center" vertical="top"/>
    </xf>
    <xf numFmtId="0" fontId="9" fillId="0" borderId="10" xfId="0" applyFont="1" applyBorder="1" applyAlignment="1">
      <alignment horizontal="left" vertical="top"/>
    </xf>
    <xf numFmtId="0" fontId="10" fillId="0" borderId="10" xfId="0" applyFont="1" applyBorder="1" applyAlignment="1">
      <alignment horizontal="left" vertical="top"/>
    </xf>
    <xf numFmtId="0" fontId="69" fillId="0" borderId="0" xfId="0" applyFont="1" applyAlignment="1">
      <alignment horizontal="left"/>
    </xf>
    <xf numFmtId="0" fontId="69" fillId="0" borderId="10" xfId="0" applyFont="1" applyBorder="1" applyAlignment="1">
      <alignment horizontal="left"/>
    </xf>
    <xf numFmtId="0" fontId="69" fillId="40" borderId="0" xfId="0" applyFont="1" applyFill="1" applyAlignment="1">
      <alignment horizontal="center"/>
    </xf>
    <xf numFmtId="0" fontId="9" fillId="0" borderId="10" xfId="0" applyFont="1" applyFill="1" applyBorder="1" applyAlignment="1" quotePrefix="1">
      <alignment horizontal="center" vertical="top" wrapText="1"/>
    </xf>
    <xf numFmtId="0" fontId="9" fillId="0" borderId="10" xfId="0" applyFont="1" applyFill="1" applyBorder="1" applyAlignment="1">
      <alignment horizontal="center" vertical="top" wrapText="1"/>
    </xf>
    <xf numFmtId="2" fontId="9" fillId="0" borderId="10" xfId="0" applyNumberFormat="1" applyFont="1" applyBorder="1" applyAlignment="1">
      <alignment horizontal="center" vertical="top"/>
    </xf>
    <xf numFmtId="2" fontId="10" fillId="0" borderId="10" xfId="0" applyNumberFormat="1" applyFont="1" applyBorder="1" applyAlignment="1">
      <alignment horizontal="center" vertical="top"/>
    </xf>
    <xf numFmtId="179" fontId="9" fillId="0" borderId="10" xfId="0" applyNumberFormat="1" applyFont="1" applyFill="1" applyBorder="1" applyAlignment="1">
      <alignment horizontal="center" vertical="top"/>
    </xf>
    <xf numFmtId="182" fontId="9" fillId="0" borderId="10" xfId="0" applyNumberFormat="1" applyFont="1" applyFill="1" applyBorder="1" applyAlignment="1">
      <alignment horizontal="center" vertical="top"/>
    </xf>
    <xf numFmtId="181" fontId="9" fillId="0" borderId="10" xfId="0" applyNumberFormat="1" applyFont="1" applyFill="1" applyBorder="1" applyAlignment="1">
      <alignment horizontal="center" vertical="top"/>
    </xf>
    <xf numFmtId="179" fontId="10" fillId="0" borderId="10" xfId="0" applyNumberFormat="1" applyFont="1" applyBorder="1" applyAlignment="1">
      <alignment horizontal="center" vertical="top"/>
    </xf>
    <xf numFmtId="1" fontId="9" fillId="0" borderId="10" xfId="0" applyNumberFormat="1" applyFont="1" applyBorder="1" applyAlignment="1">
      <alignment horizontal="left" vertical="top" wrapText="1"/>
    </xf>
    <xf numFmtId="0" fontId="2" fillId="36" borderId="10" xfId="0" applyFont="1" applyFill="1" applyBorder="1" applyAlignment="1">
      <alignment horizontal="right" wrapText="1"/>
    </xf>
    <xf numFmtId="0" fontId="3" fillId="34" borderId="10" xfId="0" applyFont="1" applyFill="1" applyBorder="1" applyAlignment="1">
      <alignment horizontal="center" vertical="top" wrapText="1"/>
    </xf>
    <xf numFmtId="0" fontId="9" fillId="0" borderId="12"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3" fillId="34" borderId="12" xfId="0" applyFont="1" applyFill="1" applyBorder="1" applyAlignment="1">
      <alignment horizontal="center" vertical="top" wrapText="1"/>
    </xf>
    <xf numFmtId="0" fontId="3" fillId="34" borderId="16" xfId="0" applyFont="1" applyFill="1" applyBorder="1" applyAlignment="1">
      <alignment horizontal="center" vertical="top" wrapText="1"/>
    </xf>
    <xf numFmtId="0" fontId="3" fillId="34" borderId="17" xfId="0" applyFont="1" applyFill="1" applyBorder="1" applyAlignment="1">
      <alignment horizontal="center" vertical="top" wrapText="1"/>
    </xf>
    <xf numFmtId="0" fontId="28" fillId="0" borderId="10" xfId="0" applyFont="1" applyFill="1" applyBorder="1" applyAlignment="1">
      <alignment horizontal="left" vertical="top" wrapText="1"/>
    </xf>
    <xf numFmtId="0" fontId="14" fillId="35" borderId="12" xfId="0" applyFont="1" applyFill="1" applyBorder="1" applyAlignment="1">
      <alignment horizontal="center"/>
    </xf>
    <xf numFmtId="0" fontId="14" fillId="35" borderId="16" xfId="0" applyFont="1" applyFill="1" applyBorder="1" applyAlignment="1">
      <alignment horizontal="center"/>
    </xf>
    <xf numFmtId="0" fontId="14" fillId="35" borderId="17" xfId="0" applyFont="1" applyFill="1" applyBorder="1" applyAlignment="1">
      <alignment horizontal="center"/>
    </xf>
    <xf numFmtId="0" fontId="3" fillId="34" borderId="10" xfId="0" applyFont="1" applyFill="1" applyBorder="1" applyAlignment="1">
      <alignment horizontal="left" vertical="top" wrapText="1"/>
    </xf>
    <xf numFmtId="0" fontId="3" fillId="34" borderId="10" xfId="0" applyFont="1" applyFill="1" applyBorder="1" applyAlignment="1">
      <alignment horizontal="center" vertical="top"/>
    </xf>
    <xf numFmtId="0" fontId="0" fillId="41" borderId="18" xfId="0" applyFill="1" applyBorder="1" applyAlignment="1">
      <alignment horizontal="left" vertical="center"/>
    </xf>
    <xf numFmtId="0" fontId="0" fillId="41" borderId="13" xfId="0" applyFill="1" applyBorder="1" applyAlignment="1">
      <alignment horizontal="left" vertical="center"/>
    </xf>
    <xf numFmtId="0" fontId="0" fillId="41" borderId="18" xfId="0" applyFill="1" applyBorder="1" applyAlignment="1">
      <alignment horizontal="left"/>
    </xf>
    <xf numFmtId="0" fontId="0" fillId="41" borderId="13" xfId="0" applyFill="1" applyBorder="1" applyAlignment="1">
      <alignment horizontal="left"/>
    </xf>
    <xf numFmtId="0" fontId="2" fillId="0" borderId="10" xfId="0" applyFont="1" applyBorder="1" applyAlignment="1">
      <alignment horizontal="center" vertical="top" wrapText="1"/>
    </xf>
    <xf numFmtId="0" fontId="4" fillId="0" borderId="10" xfId="0" applyFont="1" applyBorder="1" applyAlignment="1">
      <alignment horizontal="center" vertical="top" wrapText="1"/>
    </xf>
    <xf numFmtId="0" fontId="7" fillId="0" borderId="10"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33"/>
  <sheetViews>
    <sheetView tabSelected="1" view="pageBreakPreview" zoomScale="75" zoomScaleSheetLayoutView="75" zoomScalePageLayoutView="0" workbookViewId="0" topLeftCell="A7">
      <selection activeCell="R11" sqref="R1:R16384"/>
    </sheetView>
  </sheetViews>
  <sheetFormatPr defaultColWidth="9.140625" defaultRowHeight="12.75"/>
  <cols>
    <col min="1" max="1" width="11.8515625" style="308" customWidth="1"/>
    <col min="2" max="2" width="43.8515625" style="9" customWidth="1"/>
    <col min="3" max="3" width="9.57421875" style="9" customWidth="1"/>
    <col min="4" max="4" width="14.140625" style="9" customWidth="1"/>
    <col min="5" max="5" width="12.421875" style="9" customWidth="1"/>
    <col min="6" max="6" width="8.7109375" style="9" customWidth="1"/>
    <col min="7" max="7" width="10.7109375" style="9" customWidth="1"/>
    <col min="8" max="8" width="12.8515625" style="350" customWidth="1"/>
    <col min="9" max="9" width="18.00390625" style="152" customWidth="1"/>
    <col min="10" max="10" width="8.421875" style="9" customWidth="1"/>
    <col min="11" max="11" width="6.8515625" style="9" customWidth="1"/>
    <col min="12" max="12" width="13.00390625" style="9" customWidth="1"/>
    <col min="13" max="13" width="10.421875" style="9" customWidth="1"/>
    <col min="14" max="14" width="6.421875" style="9" customWidth="1"/>
    <col min="15" max="15" width="5.57421875" style="9" customWidth="1"/>
    <col min="16" max="16" width="11.421875" style="164" customWidth="1"/>
    <col min="17" max="17" width="11.421875" style="9" customWidth="1"/>
    <col min="18" max="18" width="10.00390625" style="152" customWidth="1"/>
    <col min="19" max="16384" width="9.140625" style="5" customWidth="1"/>
  </cols>
  <sheetData>
    <row r="1" spans="1:18" s="4" customFormat="1" ht="15" customHeight="1">
      <c r="A1" s="396" t="s">
        <v>0</v>
      </c>
      <c r="B1" s="396"/>
      <c r="C1" s="396"/>
      <c r="D1" s="396"/>
      <c r="E1" s="396"/>
      <c r="F1" s="396"/>
      <c r="G1" s="396"/>
      <c r="H1" s="396"/>
      <c r="I1" s="396"/>
      <c r="J1" s="396"/>
      <c r="K1" s="396"/>
      <c r="L1" s="396"/>
      <c r="M1" s="396"/>
      <c r="N1" s="396"/>
      <c r="O1" s="396"/>
      <c r="P1" s="396"/>
      <c r="Q1" s="396"/>
      <c r="R1" s="396"/>
    </row>
    <row r="2" spans="1:18" ht="22.5" customHeight="1">
      <c r="A2" s="396" t="s">
        <v>1</v>
      </c>
      <c r="B2" s="396"/>
      <c r="C2" s="396"/>
      <c r="D2" s="396"/>
      <c r="E2" s="396"/>
      <c r="F2" s="396"/>
      <c r="G2" s="396"/>
      <c r="H2" s="396"/>
      <c r="I2" s="396"/>
      <c r="J2" s="396"/>
      <c r="K2" s="396"/>
      <c r="L2" s="396"/>
      <c r="M2" s="396"/>
      <c r="N2" s="396"/>
      <c r="O2" s="396"/>
      <c r="P2" s="396"/>
      <c r="Q2" s="396"/>
      <c r="R2" s="396"/>
    </row>
    <row r="3" spans="1:18" s="6" customFormat="1" ht="23.25" customHeight="1">
      <c r="A3" s="397" t="s">
        <v>1006</v>
      </c>
      <c r="B3" s="397"/>
      <c r="C3" s="397"/>
      <c r="D3" s="397"/>
      <c r="E3" s="397"/>
      <c r="F3" s="397"/>
      <c r="G3" s="397"/>
      <c r="H3" s="397"/>
      <c r="I3" s="397"/>
      <c r="J3" s="397"/>
      <c r="K3" s="397"/>
      <c r="L3" s="397"/>
      <c r="M3" s="397"/>
      <c r="N3" s="397"/>
      <c r="O3" s="397"/>
      <c r="P3" s="397"/>
      <c r="Q3" s="397"/>
      <c r="R3" s="397"/>
    </row>
    <row r="4" spans="1:18" s="6" customFormat="1" ht="23.25" customHeight="1">
      <c r="A4" s="396" t="s">
        <v>1025</v>
      </c>
      <c r="B4" s="396"/>
      <c r="C4" s="396"/>
      <c r="D4" s="396"/>
      <c r="E4" s="396"/>
      <c r="F4" s="396"/>
      <c r="G4" s="396"/>
      <c r="H4" s="396"/>
      <c r="I4" s="396"/>
      <c r="J4" s="396"/>
      <c r="K4" s="396"/>
      <c r="L4" s="396"/>
      <c r="M4" s="396"/>
      <c r="N4" s="396"/>
      <c r="O4" s="396"/>
      <c r="P4" s="396"/>
      <c r="Q4" s="396"/>
      <c r="R4" s="396"/>
    </row>
    <row r="5" spans="1:18" ht="22.5" customHeight="1">
      <c r="A5" s="398" t="s">
        <v>416</v>
      </c>
      <c r="B5" s="398"/>
      <c r="C5" s="398"/>
      <c r="D5" s="398"/>
      <c r="E5" s="398"/>
      <c r="F5" s="398"/>
      <c r="G5" s="398"/>
      <c r="H5" s="398"/>
      <c r="I5" s="398"/>
      <c r="J5" s="398"/>
      <c r="K5" s="398"/>
      <c r="L5" s="398"/>
      <c r="M5" s="398"/>
      <c r="N5" s="398"/>
      <c r="O5" s="398"/>
      <c r="P5" s="398"/>
      <c r="Q5" s="398"/>
      <c r="R5" s="398"/>
    </row>
    <row r="6" spans="1:18" ht="25.5" customHeight="1">
      <c r="A6" s="398"/>
      <c r="B6" s="398"/>
      <c r="C6" s="398"/>
      <c r="D6" s="398"/>
      <c r="E6" s="398"/>
      <c r="F6" s="398"/>
      <c r="G6" s="398"/>
      <c r="H6" s="398"/>
      <c r="I6" s="398"/>
      <c r="J6" s="398"/>
      <c r="K6" s="398"/>
      <c r="L6" s="398"/>
      <c r="M6" s="398"/>
      <c r="N6" s="398"/>
      <c r="O6" s="398"/>
      <c r="P6" s="398"/>
      <c r="Q6" s="398"/>
      <c r="R6" s="398"/>
    </row>
    <row r="7" spans="1:18" ht="29.25" customHeight="1">
      <c r="A7" s="398"/>
      <c r="B7" s="398"/>
      <c r="C7" s="398"/>
      <c r="D7" s="398"/>
      <c r="E7" s="398"/>
      <c r="F7" s="398"/>
      <c r="G7" s="398"/>
      <c r="H7" s="398"/>
      <c r="I7" s="398"/>
      <c r="J7" s="398"/>
      <c r="K7" s="398"/>
      <c r="L7" s="398"/>
      <c r="M7" s="398"/>
      <c r="N7" s="398"/>
      <c r="O7" s="398"/>
      <c r="P7" s="398"/>
      <c r="Q7" s="398"/>
      <c r="R7" s="398"/>
    </row>
    <row r="8" spans="1:18" ht="13.5" customHeight="1">
      <c r="A8" s="266"/>
      <c r="B8" s="57"/>
      <c r="C8" s="378" t="s">
        <v>468</v>
      </c>
      <c r="D8" s="378"/>
      <c r="E8" s="378"/>
      <c r="F8" s="378"/>
      <c r="G8" s="378"/>
      <c r="H8" s="378"/>
      <c r="I8" s="378"/>
      <c r="J8" s="378"/>
      <c r="K8" s="378"/>
      <c r="L8" s="378"/>
      <c r="M8" s="378"/>
      <c r="N8" s="378"/>
      <c r="O8" s="378"/>
      <c r="P8" s="378"/>
      <c r="Q8" s="378"/>
      <c r="R8" s="378"/>
    </row>
    <row r="9" spans="1:18" ht="15.75" customHeight="1">
      <c r="A9" s="390" t="s">
        <v>2</v>
      </c>
      <c r="B9" s="391" t="s">
        <v>3</v>
      </c>
      <c r="C9" s="379" t="s">
        <v>4</v>
      </c>
      <c r="D9" s="379"/>
      <c r="E9" s="379"/>
      <c r="F9" s="379"/>
      <c r="G9" s="379"/>
      <c r="H9" s="379"/>
      <c r="I9" s="379"/>
      <c r="J9" s="379"/>
      <c r="K9" s="379" t="s">
        <v>5</v>
      </c>
      <c r="L9" s="379"/>
      <c r="M9" s="379"/>
      <c r="N9" s="379"/>
      <c r="O9" s="379"/>
      <c r="P9" s="379"/>
      <c r="Q9" s="379"/>
      <c r="R9" s="379"/>
    </row>
    <row r="10" spans="1:18" ht="15.75" customHeight="1">
      <c r="A10" s="390"/>
      <c r="B10" s="391"/>
      <c r="C10" s="379" t="s">
        <v>6</v>
      </c>
      <c r="D10" s="379"/>
      <c r="E10" s="379"/>
      <c r="F10" s="379"/>
      <c r="G10" s="383" t="s">
        <v>992</v>
      </c>
      <c r="H10" s="384"/>
      <c r="I10" s="384"/>
      <c r="J10" s="385"/>
      <c r="K10" s="379" t="s">
        <v>6</v>
      </c>
      <c r="L10" s="379"/>
      <c r="M10" s="379"/>
      <c r="N10" s="379"/>
      <c r="O10" s="383" t="s">
        <v>992</v>
      </c>
      <c r="P10" s="384"/>
      <c r="Q10" s="384"/>
      <c r="R10" s="385"/>
    </row>
    <row r="11" spans="1:18" s="7" customFormat="1" ht="204.75" customHeight="1">
      <c r="A11" s="390"/>
      <c r="B11" s="391"/>
      <c r="C11" s="60" t="s">
        <v>7</v>
      </c>
      <c r="D11" s="60" t="s">
        <v>467</v>
      </c>
      <c r="E11" s="60" t="s">
        <v>773</v>
      </c>
      <c r="F11" s="60" t="s">
        <v>8</v>
      </c>
      <c r="G11" s="138" t="s">
        <v>1000</v>
      </c>
      <c r="H11" s="311" t="s">
        <v>1001</v>
      </c>
      <c r="I11" s="60" t="s">
        <v>10</v>
      </c>
      <c r="J11" s="60" t="s">
        <v>8</v>
      </c>
      <c r="K11" s="60" t="s">
        <v>7</v>
      </c>
      <c r="L11" s="60" t="s">
        <v>467</v>
      </c>
      <c r="M11" s="60" t="s">
        <v>773</v>
      </c>
      <c r="N11" s="60" t="s">
        <v>8</v>
      </c>
      <c r="O11" s="138" t="s">
        <v>1000</v>
      </c>
      <c r="P11" s="60" t="s">
        <v>9</v>
      </c>
      <c r="Q11" s="60" t="s">
        <v>11</v>
      </c>
      <c r="R11" s="60" t="s">
        <v>8</v>
      </c>
    </row>
    <row r="12" spans="1:18" ht="15.75">
      <c r="A12" s="390"/>
      <c r="B12" s="391"/>
      <c r="C12" s="10" t="s">
        <v>12</v>
      </c>
      <c r="D12" s="10" t="s">
        <v>13</v>
      </c>
      <c r="E12" s="10" t="s">
        <v>14</v>
      </c>
      <c r="F12" s="10" t="s">
        <v>15</v>
      </c>
      <c r="G12" s="10" t="s">
        <v>16</v>
      </c>
      <c r="H12" s="312" t="s">
        <v>17</v>
      </c>
      <c r="I12" s="10" t="s">
        <v>18</v>
      </c>
      <c r="J12" s="10" t="s">
        <v>19</v>
      </c>
      <c r="K12" s="10" t="s">
        <v>20</v>
      </c>
      <c r="L12" s="10" t="s">
        <v>21</v>
      </c>
      <c r="M12" s="10" t="s">
        <v>22</v>
      </c>
      <c r="N12" s="10" t="s">
        <v>23</v>
      </c>
      <c r="O12" s="10" t="s">
        <v>24</v>
      </c>
      <c r="P12" s="10" t="s">
        <v>25</v>
      </c>
      <c r="Q12" s="10" t="s">
        <v>987</v>
      </c>
      <c r="R12" s="10" t="s">
        <v>988</v>
      </c>
    </row>
    <row r="13" spans="1:18" s="167" customFormat="1" ht="31.5">
      <c r="A13" s="267" t="s">
        <v>26</v>
      </c>
      <c r="B13" s="61" t="s">
        <v>27</v>
      </c>
      <c r="C13" s="100"/>
      <c r="D13" s="100"/>
      <c r="E13" s="100"/>
      <c r="F13" s="195"/>
      <c r="G13" s="195"/>
      <c r="H13" s="313">
        <f>H14+H41+H56+H73+H77+H78+H79+H82+H97+H134+H143</f>
        <v>2740.3199999999997</v>
      </c>
      <c r="I13" s="166">
        <f>I14+I41+I56+I73+I77+I78+I79+I82+I97+I134+I143</f>
        <v>104.57189999999999</v>
      </c>
      <c r="J13" s="166">
        <f aca="true" t="shared" si="0" ref="J13:J49">IF(H13,(H13-I13)/H13,"NB")</f>
        <v>0.9618395296899632</v>
      </c>
      <c r="K13" s="100"/>
      <c r="L13" s="100"/>
      <c r="M13" s="100"/>
      <c r="N13" s="100"/>
      <c r="O13" s="100"/>
      <c r="P13" s="166">
        <f>H13</f>
        <v>2740.3199999999997</v>
      </c>
      <c r="Q13" s="166">
        <f>Q14+Q41+Q56+Q73+Q77+Q78+Q79+Q82+Q97+Q134+Q143</f>
        <v>731.96021</v>
      </c>
      <c r="R13" s="166">
        <f>IF(P13,(P13-Q13)/P13,"NB")</f>
        <v>0.7328924322706837</v>
      </c>
    </row>
    <row r="14" spans="1:18" s="170" customFormat="1" ht="15.75">
      <c r="A14" s="177" t="s">
        <v>28</v>
      </c>
      <c r="B14" s="11" t="s">
        <v>29</v>
      </c>
      <c r="C14" s="101"/>
      <c r="D14" s="224"/>
      <c r="E14" s="224"/>
      <c r="F14" s="101"/>
      <c r="G14" s="101"/>
      <c r="H14" s="314">
        <f>H15+H22+H21+H25+H33+H34+H35</f>
        <v>644.43</v>
      </c>
      <c r="I14" s="168">
        <f>I15+I22+I21+I25+I33+I34+I35</f>
        <v>22.1955</v>
      </c>
      <c r="J14" s="168">
        <f t="shared" si="0"/>
        <v>0.9655579349192309</v>
      </c>
      <c r="K14" s="101"/>
      <c r="L14" s="168"/>
      <c r="M14" s="168"/>
      <c r="N14" s="101"/>
      <c r="O14" s="101"/>
      <c r="P14" s="168">
        <f>P15+P22+P21+P25+P33+P34+P35</f>
        <v>644.43</v>
      </c>
      <c r="Q14" s="168">
        <f>Q15+Q22+Q21+Q25+Q33+Q34+Q35</f>
        <v>88.83776</v>
      </c>
      <c r="R14" s="168">
        <f>IF(P14,(P14-Q14)/P14,"NB")</f>
        <v>0.8621452135996152</v>
      </c>
    </row>
    <row r="15" spans="1:18" s="167" customFormat="1" ht="37.5" customHeight="1">
      <c r="A15" s="177" t="s">
        <v>30</v>
      </c>
      <c r="B15" s="12" t="s">
        <v>31</v>
      </c>
      <c r="C15" s="102"/>
      <c r="D15" s="228"/>
      <c r="E15" s="228"/>
      <c r="F15" s="102"/>
      <c r="G15" s="102"/>
      <c r="H15" s="315">
        <f>SUM(H16:H20)</f>
        <v>0</v>
      </c>
      <c r="I15" s="171">
        <f>SUM(I16:I20)</f>
        <v>0</v>
      </c>
      <c r="J15" s="199" t="str">
        <f t="shared" si="0"/>
        <v>NB</v>
      </c>
      <c r="K15" s="102"/>
      <c r="L15" s="171"/>
      <c r="M15" s="171"/>
      <c r="N15" s="101"/>
      <c r="O15" s="101"/>
      <c r="P15" s="215">
        <f aca="true" t="shared" si="1" ref="P15:P48">H15</f>
        <v>0</v>
      </c>
      <c r="Q15" s="171">
        <f>SUM(Q16:Q20)</f>
        <v>0.12</v>
      </c>
      <c r="R15" s="171" t="str">
        <f>IF(P15,(P15-Q15)/P15,"NB")</f>
        <v>NB</v>
      </c>
    </row>
    <row r="16" spans="1:18" ht="15">
      <c r="A16" s="268" t="s">
        <v>32</v>
      </c>
      <c r="B16" s="13" t="s">
        <v>33</v>
      </c>
      <c r="C16" s="103" t="s">
        <v>1007</v>
      </c>
      <c r="D16" s="364">
        <v>3</v>
      </c>
      <c r="E16" s="364"/>
      <c r="F16" s="196"/>
      <c r="G16" s="196"/>
      <c r="H16" s="316"/>
      <c r="I16" s="103"/>
      <c r="J16" s="196" t="str">
        <f t="shared" si="0"/>
        <v>NB</v>
      </c>
      <c r="K16" s="103" t="s">
        <v>1007</v>
      </c>
      <c r="L16" s="103">
        <v>3</v>
      </c>
      <c r="M16" s="103">
        <v>0</v>
      </c>
      <c r="N16" s="194"/>
      <c r="O16" s="194"/>
      <c r="P16" s="156">
        <f t="shared" si="1"/>
        <v>0</v>
      </c>
      <c r="Q16" s="103"/>
      <c r="R16" s="202" t="str">
        <f>IF(P16,(P16-Q16)/P16,"NB")</f>
        <v>NB</v>
      </c>
    </row>
    <row r="17" spans="1:18" ht="15.75">
      <c r="A17" s="268" t="s">
        <v>34</v>
      </c>
      <c r="B17" s="15" t="s">
        <v>417</v>
      </c>
      <c r="C17" s="104" t="s">
        <v>1007</v>
      </c>
      <c r="D17" s="365">
        <v>16</v>
      </c>
      <c r="E17" s="365"/>
      <c r="F17" s="196"/>
      <c r="G17" s="196"/>
      <c r="H17" s="317"/>
      <c r="I17" s="104"/>
      <c r="J17" s="196" t="str">
        <f t="shared" si="0"/>
        <v>NB</v>
      </c>
      <c r="K17" s="104" t="s">
        <v>1007</v>
      </c>
      <c r="L17" s="104">
        <v>16</v>
      </c>
      <c r="M17" s="104">
        <v>3</v>
      </c>
      <c r="N17" s="194"/>
      <c r="O17" s="194"/>
      <c r="P17" s="156">
        <f t="shared" si="1"/>
        <v>0</v>
      </c>
      <c r="Q17" s="104"/>
      <c r="R17" s="202" t="str">
        <f>IF(P17,(P17-Q17)/P17,"NB")</f>
        <v>NB</v>
      </c>
    </row>
    <row r="18" spans="1:18" ht="15.75">
      <c r="A18" s="268" t="s">
        <v>35</v>
      </c>
      <c r="B18" s="15" t="s">
        <v>418</v>
      </c>
      <c r="C18" s="104"/>
      <c r="D18" s="365"/>
      <c r="E18" s="365"/>
      <c r="F18" s="196"/>
      <c r="G18" s="196"/>
      <c r="H18" s="317"/>
      <c r="I18" s="103"/>
      <c r="J18" s="196" t="str">
        <f t="shared" si="0"/>
        <v>NB</v>
      </c>
      <c r="K18" s="104"/>
      <c r="L18" s="104"/>
      <c r="M18" s="104"/>
      <c r="N18" s="194"/>
      <c r="O18" s="194"/>
      <c r="P18" s="156">
        <f t="shared" si="1"/>
        <v>0</v>
      </c>
      <c r="Q18" s="104"/>
      <c r="R18" s="202" t="str">
        <f>IF(P18,(P18-Q18)/P18,"NB")</f>
        <v>NB</v>
      </c>
    </row>
    <row r="19" spans="1:18" ht="15.75">
      <c r="A19" s="268" t="s">
        <v>36</v>
      </c>
      <c r="B19" s="15" t="s">
        <v>419</v>
      </c>
      <c r="C19" s="104"/>
      <c r="D19" s="365"/>
      <c r="E19" s="365"/>
      <c r="F19" s="196"/>
      <c r="G19" s="196"/>
      <c r="H19" s="317"/>
      <c r="I19" s="103"/>
      <c r="J19" s="196" t="str">
        <f t="shared" si="0"/>
        <v>NB</v>
      </c>
      <c r="K19" s="104"/>
      <c r="L19" s="104"/>
      <c r="M19" s="104"/>
      <c r="N19" s="194"/>
      <c r="O19" s="194"/>
      <c r="P19" s="156">
        <f t="shared" si="1"/>
        <v>0</v>
      </c>
      <c r="Q19" s="104"/>
      <c r="R19" s="202" t="str">
        <f>IF(P19,(P19-Q19)/P19,"NB")</f>
        <v>NB</v>
      </c>
    </row>
    <row r="20" spans="1:18" ht="15">
      <c r="A20" s="268" t="s">
        <v>37</v>
      </c>
      <c r="B20" s="13" t="s">
        <v>38</v>
      </c>
      <c r="C20" s="103"/>
      <c r="D20" s="364"/>
      <c r="E20" s="364"/>
      <c r="F20" s="196"/>
      <c r="G20" s="196"/>
      <c r="H20" s="318"/>
      <c r="I20" s="103"/>
      <c r="J20" s="196" t="str">
        <f t="shared" si="0"/>
        <v>NB</v>
      </c>
      <c r="K20" s="103"/>
      <c r="L20" s="103"/>
      <c r="M20" s="103"/>
      <c r="N20" s="194"/>
      <c r="O20" s="194"/>
      <c r="P20" s="156">
        <f t="shared" si="1"/>
        <v>0</v>
      </c>
      <c r="Q20" s="103">
        <v>0.12</v>
      </c>
      <c r="R20" s="202" t="str">
        <f>IF(P20,(P20-Q20)/P20,"NB")</f>
        <v>NB</v>
      </c>
    </row>
    <row r="21" spans="1:18" ht="15.75">
      <c r="A21" s="269" t="s">
        <v>39</v>
      </c>
      <c r="B21" s="17" t="s">
        <v>40</v>
      </c>
      <c r="C21" s="103"/>
      <c r="D21" s="364"/>
      <c r="E21" s="364"/>
      <c r="F21" s="196"/>
      <c r="G21" s="196"/>
      <c r="H21" s="318"/>
      <c r="I21" s="103"/>
      <c r="J21" s="196" t="str">
        <f t="shared" si="0"/>
        <v>NB</v>
      </c>
      <c r="K21" s="103"/>
      <c r="L21" s="103"/>
      <c r="M21" s="103"/>
      <c r="N21" s="194"/>
      <c r="O21" s="194"/>
      <c r="P21" s="156">
        <f t="shared" si="1"/>
        <v>0</v>
      </c>
      <c r="Q21" s="103">
        <v>1.1935</v>
      </c>
      <c r="R21" s="202" t="str">
        <f>IF(P21,(P21-Q21)/P21,"NB")</f>
        <v>NB</v>
      </c>
    </row>
    <row r="22" spans="1:18" s="167" customFormat="1" ht="15.75">
      <c r="A22" s="177" t="s">
        <v>41</v>
      </c>
      <c r="B22" s="12" t="s">
        <v>42</v>
      </c>
      <c r="C22" s="102"/>
      <c r="D22" s="294"/>
      <c r="E22" s="294"/>
      <c r="F22" s="199"/>
      <c r="G22" s="199"/>
      <c r="H22" s="315">
        <f>SUM(H23:H24)</f>
        <v>35.3</v>
      </c>
      <c r="I22" s="171">
        <f>SUM(I23:I24)</f>
        <v>7.58</v>
      </c>
      <c r="J22" s="199">
        <f t="shared" si="0"/>
        <v>0.7852691218130312</v>
      </c>
      <c r="K22" s="102"/>
      <c r="L22" s="102"/>
      <c r="M22" s="102"/>
      <c r="N22" s="198"/>
      <c r="O22" s="198"/>
      <c r="P22" s="169">
        <f t="shared" si="1"/>
        <v>35.3</v>
      </c>
      <c r="Q22" s="171">
        <f>SUM(Q23:Q24)</f>
        <v>14.08</v>
      </c>
      <c r="R22" s="171">
        <f>IF(P22,(P22-Q22)/P22,"NB")</f>
        <v>0.6011331444759207</v>
      </c>
    </row>
    <row r="23" spans="1:18" ht="15.75">
      <c r="A23" s="268" t="s">
        <v>43</v>
      </c>
      <c r="B23" s="13" t="s">
        <v>44</v>
      </c>
      <c r="D23" s="364">
        <v>136</v>
      </c>
      <c r="E23" s="366">
        <f>4+3</f>
        <v>7</v>
      </c>
      <c r="F23" s="196"/>
      <c r="G23" s="196"/>
      <c r="H23" s="318">
        <v>35.3</v>
      </c>
      <c r="I23" s="103">
        <f>6.06+0.87</f>
        <v>6.93</v>
      </c>
      <c r="J23" s="196">
        <f t="shared" si="0"/>
        <v>0.8036827195467422</v>
      </c>
      <c r="K23" s="14"/>
      <c r="L23" s="14">
        <v>136</v>
      </c>
      <c r="M23" s="14">
        <f>E23</f>
        <v>7</v>
      </c>
      <c r="N23" s="194"/>
      <c r="O23" s="194"/>
      <c r="P23" s="156">
        <f t="shared" si="1"/>
        <v>35.3</v>
      </c>
      <c r="Q23" s="14">
        <f>6.5+I23</f>
        <v>13.43</v>
      </c>
      <c r="R23" s="202">
        <f>IF(P23,(P23-Q23)/P23,"NB")</f>
        <v>0.6195467422096317</v>
      </c>
    </row>
    <row r="24" spans="1:18" ht="15">
      <c r="A24" s="268" t="s">
        <v>45</v>
      </c>
      <c r="B24" s="13" t="s">
        <v>46</v>
      </c>
      <c r="D24" s="364">
        <v>46536</v>
      </c>
      <c r="E24" s="364"/>
      <c r="F24" s="196"/>
      <c r="G24" s="196"/>
      <c r="H24" s="318"/>
      <c r="I24" s="103">
        <v>0.65</v>
      </c>
      <c r="J24" s="196" t="str">
        <f t="shared" si="0"/>
        <v>NB</v>
      </c>
      <c r="K24" s="14"/>
      <c r="L24" s="14">
        <v>46536</v>
      </c>
      <c r="M24" s="14">
        <v>3521</v>
      </c>
      <c r="N24" s="194"/>
      <c r="O24" s="194"/>
      <c r="P24" s="156">
        <f t="shared" si="1"/>
        <v>0</v>
      </c>
      <c r="Q24" s="14">
        <f>I24</f>
        <v>0.65</v>
      </c>
      <c r="R24" s="202" t="str">
        <f>IF(P24,(P24-Q24)/P24,"NB")</f>
        <v>NB</v>
      </c>
    </row>
    <row r="25" spans="1:18" s="167" customFormat="1" ht="15.75">
      <c r="A25" s="177" t="s">
        <v>47</v>
      </c>
      <c r="B25" s="12" t="s">
        <v>48</v>
      </c>
      <c r="C25" s="102"/>
      <c r="D25" s="294"/>
      <c r="E25" s="294"/>
      <c r="F25" s="199"/>
      <c r="G25" s="199"/>
      <c r="H25" s="315">
        <f>SUM(H26:H32)</f>
        <v>168.54</v>
      </c>
      <c r="I25" s="171">
        <f>SUM(I26,I27,I31,I32)</f>
        <v>14.5035</v>
      </c>
      <c r="J25" s="199">
        <f t="shared" si="0"/>
        <v>0.9139462442150231</v>
      </c>
      <c r="K25" s="102"/>
      <c r="L25" s="102"/>
      <c r="M25" s="102"/>
      <c r="N25" s="198"/>
      <c r="O25" s="198"/>
      <c r="P25" s="169">
        <f t="shared" si="1"/>
        <v>168.54</v>
      </c>
      <c r="Q25" s="171">
        <f>SUM(Q26,Q27,Q31,Q32)</f>
        <v>71.68826</v>
      </c>
      <c r="R25" s="171">
        <f>IF(P25,(P25-Q25)/P25,"NB")</f>
        <v>0.5746513587278984</v>
      </c>
    </row>
    <row r="26" spans="1:18" ht="15.75">
      <c r="A26" s="270" t="s">
        <v>49</v>
      </c>
      <c r="B26" s="25" t="s">
        <v>50</v>
      </c>
      <c r="C26" s="103"/>
      <c r="D26" s="366">
        <v>1462</v>
      </c>
      <c r="E26" s="364">
        <f>438+2</f>
        <v>440</v>
      </c>
      <c r="F26" s="196"/>
      <c r="G26" s="196"/>
      <c r="H26" s="318">
        <v>7.31</v>
      </c>
      <c r="I26" s="371">
        <f>2.465+0.01</f>
        <v>2.4749999999999996</v>
      </c>
      <c r="J26" s="196">
        <f t="shared" si="0"/>
        <v>0.6614227086183311</v>
      </c>
      <c r="K26" s="103"/>
      <c r="L26" s="103">
        <v>1462</v>
      </c>
      <c r="M26" s="103">
        <f>679+E26</f>
        <v>1119</v>
      </c>
      <c r="N26" s="194"/>
      <c r="O26" s="194"/>
      <c r="P26" s="156">
        <f t="shared" si="1"/>
        <v>7.31</v>
      </c>
      <c r="Q26" s="371">
        <f>8.42+I26</f>
        <v>10.895</v>
      </c>
      <c r="R26" s="202">
        <f>IF(P26,(P26-Q26)/P26,"NB")</f>
        <v>-0.4904240766073872</v>
      </c>
    </row>
    <row r="27" spans="1:18" ht="15.75">
      <c r="A27" s="46" t="s">
        <v>51</v>
      </c>
      <c r="B27" s="120" t="s">
        <v>639</v>
      </c>
      <c r="C27" s="104"/>
      <c r="D27" s="365"/>
      <c r="E27" s="365"/>
      <c r="F27" s="196"/>
      <c r="G27" s="196"/>
      <c r="H27" s="317"/>
      <c r="I27" s="372">
        <f>I28+I29+I30</f>
        <v>8.494</v>
      </c>
      <c r="J27" s="196" t="str">
        <f t="shared" si="0"/>
        <v>NB</v>
      </c>
      <c r="K27" s="104"/>
      <c r="L27" s="104"/>
      <c r="M27" s="104"/>
      <c r="N27" s="194"/>
      <c r="O27" s="194"/>
      <c r="P27" s="156">
        <f t="shared" si="1"/>
        <v>0</v>
      </c>
      <c r="Q27" s="376">
        <f>29.744+I27</f>
        <v>38.238</v>
      </c>
      <c r="R27" s="202" t="str">
        <f>IF(P27,(P27-Q27)/P27,"NB")</f>
        <v>NB</v>
      </c>
    </row>
    <row r="28" spans="1:18" ht="15.75">
      <c r="A28" s="271" t="s">
        <v>1002</v>
      </c>
      <c r="B28" s="118" t="s">
        <v>577</v>
      </c>
      <c r="C28" s="117"/>
      <c r="D28" s="366">
        <v>11576</v>
      </c>
      <c r="E28" s="285">
        <f>1098+108</f>
        <v>1206</v>
      </c>
      <c r="F28" s="196"/>
      <c r="G28" s="196"/>
      <c r="H28" s="319">
        <v>81.03</v>
      </c>
      <c r="I28" s="202">
        <f>7.462+0.756</f>
        <v>8.218</v>
      </c>
      <c r="J28" s="196">
        <f t="shared" si="0"/>
        <v>0.8985807725533752</v>
      </c>
      <c r="K28" s="117"/>
      <c r="L28" s="117">
        <v>11576</v>
      </c>
      <c r="M28" s="117">
        <f>1358+E28</f>
        <v>2564</v>
      </c>
      <c r="N28" s="194"/>
      <c r="O28" s="194"/>
      <c r="P28" s="156">
        <f t="shared" si="1"/>
        <v>81.03</v>
      </c>
      <c r="Q28" s="373">
        <f>27.037+I28</f>
        <v>35.254999999999995</v>
      </c>
      <c r="R28" s="202">
        <f>IF(P28,(P28-Q28)/P28,"NB")</f>
        <v>0.564914229297791</v>
      </c>
    </row>
    <row r="29" spans="1:18" ht="15.75">
      <c r="A29" s="271" t="s">
        <v>1003</v>
      </c>
      <c r="B29" s="118" t="s">
        <v>578</v>
      </c>
      <c r="C29" s="117"/>
      <c r="D29" s="367">
        <v>3396</v>
      </c>
      <c r="E29" s="285">
        <v>46</v>
      </c>
      <c r="F29" s="196"/>
      <c r="G29" s="196"/>
      <c r="H29" s="319">
        <v>20.38</v>
      </c>
      <c r="I29" s="202">
        <v>0.276</v>
      </c>
      <c r="J29" s="196">
        <f t="shared" si="0"/>
        <v>0.9864573110893032</v>
      </c>
      <c r="K29" s="117"/>
      <c r="L29" s="117">
        <v>3396</v>
      </c>
      <c r="M29" s="117">
        <f>157+E29</f>
        <v>203</v>
      </c>
      <c r="N29" s="194"/>
      <c r="O29" s="194"/>
      <c r="P29" s="156">
        <f t="shared" si="1"/>
        <v>20.38</v>
      </c>
      <c r="Q29" s="373">
        <f>2.366+I29</f>
        <v>2.6420000000000003</v>
      </c>
      <c r="R29" s="202">
        <f>IF(P29,(P29-Q29)/P29,"NB")</f>
        <v>0.8703631010794897</v>
      </c>
    </row>
    <row r="30" spans="1:18" ht="15">
      <c r="A30" s="271" t="s">
        <v>1004</v>
      </c>
      <c r="B30" s="119" t="s">
        <v>805</v>
      </c>
      <c r="C30" s="117"/>
      <c r="D30" s="285">
        <v>300</v>
      </c>
      <c r="E30" s="285"/>
      <c r="F30" s="196"/>
      <c r="G30" s="196"/>
      <c r="H30" s="319">
        <v>4.49</v>
      </c>
      <c r="I30" s="202">
        <v>0</v>
      </c>
      <c r="J30" s="196">
        <f t="shared" si="0"/>
        <v>1</v>
      </c>
      <c r="K30" s="117"/>
      <c r="L30" s="117">
        <v>300</v>
      </c>
      <c r="M30" s="117"/>
      <c r="N30" s="194"/>
      <c r="O30" s="194"/>
      <c r="P30" s="156">
        <f t="shared" si="1"/>
        <v>4.49</v>
      </c>
      <c r="Q30" s="373">
        <f>0.341+I30</f>
        <v>0.341</v>
      </c>
      <c r="R30" s="202">
        <f>IF(P30,(P30-Q30)/P30,"NB")</f>
        <v>0.9240534521158129</v>
      </c>
    </row>
    <row r="31" spans="1:18" ht="15.75">
      <c r="A31" s="272" t="s">
        <v>475</v>
      </c>
      <c r="B31" s="119" t="s">
        <v>754</v>
      </c>
      <c r="C31" s="117"/>
      <c r="D31" s="117"/>
      <c r="E31" s="117">
        <v>1</v>
      </c>
      <c r="F31" s="196"/>
      <c r="G31" s="196"/>
      <c r="H31" s="319">
        <v>8.02</v>
      </c>
      <c r="I31" s="202">
        <v>0.335</v>
      </c>
      <c r="J31" s="196">
        <f t="shared" si="0"/>
        <v>0.9582294264339152</v>
      </c>
      <c r="K31" s="117"/>
      <c r="L31" s="117"/>
      <c r="M31" s="117">
        <f>E31</f>
        <v>1</v>
      </c>
      <c r="N31" s="194"/>
      <c r="O31" s="194"/>
      <c r="P31" s="156">
        <f t="shared" si="1"/>
        <v>8.02</v>
      </c>
      <c r="Q31" s="374">
        <f>3.10476+I31</f>
        <v>3.43976</v>
      </c>
      <c r="R31" s="202">
        <f>IF(P31,(P31-Q31)/P31,"NB")</f>
        <v>0.5711022443890275</v>
      </c>
    </row>
    <row r="32" spans="1:18" ht="15.75">
      <c r="A32" s="272" t="s">
        <v>579</v>
      </c>
      <c r="B32" s="119" t="s">
        <v>580</v>
      </c>
      <c r="C32" s="117"/>
      <c r="D32" s="117"/>
      <c r="E32" s="117">
        <f>278+5</f>
        <v>283</v>
      </c>
      <c r="F32" s="196"/>
      <c r="G32" s="196"/>
      <c r="H32" s="319">
        <f>40.52+6.79</f>
        <v>47.31</v>
      </c>
      <c r="I32" s="202">
        <f>3.1695+0.03</f>
        <v>3.1995</v>
      </c>
      <c r="J32" s="196">
        <f t="shared" si="0"/>
        <v>0.9323715916296766</v>
      </c>
      <c r="K32" s="117"/>
      <c r="L32" s="117"/>
      <c r="M32" s="117">
        <f>E32</f>
        <v>283</v>
      </c>
      <c r="N32" s="194"/>
      <c r="O32" s="194"/>
      <c r="P32" s="156">
        <f t="shared" si="1"/>
        <v>47.31</v>
      </c>
      <c r="Q32" s="375">
        <f>15.916+I32</f>
        <v>19.1155</v>
      </c>
      <c r="R32" s="202">
        <f>IF(P32,(P32-Q32)/P32,"NB")</f>
        <v>0.5959522299725216</v>
      </c>
    </row>
    <row r="33" spans="1:18" s="167" customFormat="1" ht="15.75">
      <c r="A33" s="177" t="s">
        <v>476</v>
      </c>
      <c r="B33" s="19" t="s">
        <v>461</v>
      </c>
      <c r="C33" s="102"/>
      <c r="D33" s="102"/>
      <c r="E33" s="102"/>
      <c r="F33" s="199"/>
      <c r="G33" s="199"/>
      <c r="H33" s="315"/>
      <c r="I33" s="102"/>
      <c r="J33" s="199" t="str">
        <f t="shared" si="0"/>
        <v>NB</v>
      </c>
      <c r="K33" s="102"/>
      <c r="L33" s="102"/>
      <c r="M33" s="102"/>
      <c r="N33" s="198"/>
      <c r="O33" s="198"/>
      <c r="P33" s="169">
        <f t="shared" si="1"/>
        <v>0</v>
      </c>
      <c r="Q33" s="172">
        <v>0.3</v>
      </c>
      <c r="R33" s="172" t="str">
        <f>IF(P33,(P33-Q33)/P33,"NB")</f>
        <v>NB</v>
      </c>
    </row>
    <row r="34" spans="1:18" s="167" customFormat="1" ht="15.75">
      <c r="A34" s="177" t="s">
        <v>575</v>
      </c>
      <c r="B34" s="19" t="s">
        <v>576</v>
      </c>
      <c r="C34" s="102"/>
      <c r="D34" s="102"/>
      <c r="E34" s="102"/>
      <c r="F34" s="199"/>
      <c r="G34" s="199"/>
      <c r="H34" s="315"/>
      <c r="I34" s="102"/>
      <c r="J34" s="199" t="str">
        <f t="shared" si="0"/>
        <v>NB</v>
      </c>
      <c r="K34" s="102"/>
      <c r="L34" s="102"/>
      <c r="M34" s="102"/>
      <c r="N34" s="198"/>
      <c r="O34" s="198"/>
      <c r="P34" s="169">
        <f t="shared" si="1"/>
        <v>0</v>
      </c>
      <c r="Q34" s="172"/>
      <c r="R34" s="172" t="str">
        <f>IF(P34,(P34-Q34)/P34,"NB")</f>
        <v>NB</v>
      </c>
    </row>
    <row r="35" spans="1:18" s="167" customFormat="1" ht="15.75">
      <c r="A35" s="177" t="s">
        <v>816</v>
      </c>
      <c r="B35" s="19" t="s">
        <v>819</v>
      </c>
      <c r="C35" s="102"/>
      <c r="D35" s="310">
        <v>23000</v>
      </c>
      <c r="E35" s="102">
        <f>SUM(E36:E40)</f>
        <v>39</v>
      </c>
      <c r="F35" s="199"/>
      <c r="G35" s="199"/>
      <c r="H35" s="315">
        <f>SUM(H36:H40)</f>
        <v>440.59</v>
      </c>
      <c r="I35" s="171">
        <f>SUM(I36:I40)</f>
        <v>0.112</v>
      </c>
      <c r="J35" s="199">
        <f t="shared" si="0"/>
        <v>0.9997457954106992</v>
      </c>
      <c r="K35" s="102"/>
      <c r="L35" s="102">
        <v>23000</v>
      </c>
      <c r="M35" s="102"/>
      <c r="N35" s="199"/>
      <c r="O35" s="199"/>
      <c r="P35" s="171">
        <f>SUM(P36:P40)</f>
        <v>440.59</v>
      </c>
      <c r="Q35" s="171">
        <f>SUM(Q36:Q40)</f>
        <v>1.456</v>
      </c>
      <c r="R35" s="199">
        <f>IF(P35,(P35-Q35)/P35,"NB")</f>
        <v>0.9966953403390907</v>
      </c>
    </row>
    <row r="36" spans="1:18" s="167" customFormat="1" ht="30">
      <c r="A36" s="271" t="s">
        <v>811</v>
      </c>
      <c r="B36" s="210" t="s">
        <v>824</v>
      </c>
      <c r="C36" s="208"/>
      <c r="D36" s="208"/>
      <c r="E36" s="208"/>
      <c r="F36" s="196"/>
      <c r="G36" s="196"/>
      <c r="H36" s="320">
        <f>80.5+6.96</f>
        <v>87.46</v>
      </c>
      <c r="I36" s="208">
        <v>0</v>
      </c>
      <c r="J36" s="196">
        <f t="shared" si="0"/>
        <v>1</v>
      </c>
      <c r="K36" s="208"/>
      <c r="L36" s="208"/>
      <c r="M36" s="208"/>
      <c r="N36" s="196"/>
      <c r="O36" s="196"/>
      <c r="P36" s="156">
        <f t="shared" si="1"/>
        <v>87.46</v>
      </c>
      <c r="Q36" s="208"/>
      <c r="R36" s="196">
        <f>IF(P36,(P36-Q36)/P36,"NB")</f>
        <v>1</v>
      </c>
    </row>
    <row r="37" spans="1:18" s="167" customFormat="1" ht="15.75">
      <c r="A37" s="271" t="s">
        <v>812</v>
      </c>
      <c r="B37" s="207" t="s">
        <v>813</v>
      </c>
      <c r="C37" s="204"/>
      <c r="D37" s="204"/>
      <c r="E37" s="204">
        <v>17</v>
      </c>
      <c r="F37" s="196"/>
      <c r="G37" s="196"/>
      <c r="H37" s="321">
        <v>50</v>
      </c>
      <c r="I37" s="204">
        <v>0.034</v>
      </c>
      <c r="J37" s="196">
        <f t="shared" si="0"/>
        <v>0.99932</v>
      </c>
      <c r="K37" s="204"/>
      <c r="L37" s="204"/>
      <c r="M37" s="204">
        <f>E37</f>
        <v>17</v>
      </c>
      <c r="N37" s="196"/>
      <c r="O37" s="196"/>
      <c r="P37" s="156">
        <f t="shared" si="1"/>
        <v>50</v>
      </c>
      <c r="Q37" s="206">
        <f>0.024+I37</f>
        <v>0.058</v>
      </c>
      <c r="R37" s="196">
        <f>IF(P37,(P37-Q37)/P37,"NB")</f>
        <v>0.99884</v>
      </c>
    </row>
    <row r="38" spans="1:18" s="167" customFormat="1" ht="15">
      <c r="A38" s="207" t="s">
        <v>825</v>
      </c>
      <c r="B38" s="118" t="s">
        <v>814</v>
      </c>
      <c r="C38" s="118"/>
      <c r="D38" s="118"/>
      <c r="E38" s="118"/>
      <c r="F38" s="196"/>
      <c r="G38" s="196"/>
      <c r="H38" s="322">
        <v>1.09</v>
      </c>
      <c r="I38" s="369">
        <v>0</v>
      </c>
      <c r="J38" s="196">
        <f t="shared" si="0"/>
        <v>1</v>
      </c>
      <c r="K38" s="118"/>
      <c r="L38" s="118">
        <f>Q27+Q28</f>
        <v>73.493</v>
      </c>
      <c r="M38" s="118"/>
      <c r="N38" s="196"/>
      <c r="O38" s="196"/>
      <c r="P38" s="156">
        <f t="shared" si="1"/>
        <v>1.09</v>
      </c>
      <c r="Q38" s="118"/>
      <c r="R38" s="196">
        <f>IF(P38,(P38-Q38)/P38,"NB")</f>
        <v>1</v>
      </c>
    </row>
    <row r="39" spans="1:18" s="167" customFormat="1" ht="15">
      <c r="A39" s="207" t="s">
        <v>817</v>
      </c>
      <c r="B39" s="118" t="s">
        <v>815</v>
      </c>
      <c r="C39" s="118"/>
      <c r="D39" s="118"/>
      <c r="E39" s="118">
        <v>22</v>
      </c>
      <c r="F39" s="196"/>
      <c r="G39" s="196"/>
      <c r="H39" s="322">
        <f>69+3.04</f>
        <v>72.04</v>
      </c>
      <c r="I39" s="369">
        <v>0.078</v>
      </c>
      <c r="J39" s="196">
        <f t="shared" si="0"/>
        <v>0.998917268184342</v>
      </c>
      <c r="K39" s="118"/>
      <c r="L39" s="118"/>
      <c r="M39" s="118">
        <f>E39</f>
        <v>22</v>
      </c>
      <c r="N39" s="196"/>
      <c r="O39" s="196"/>
      <c r="P39" s="156">
        <f t="shared" si="1"/>
        <v>72.04</v>
      </c>
      <c r="Q39" s="118">
        <f>0.1+I39</f>
        <v>0.178</v>
      </c>
      <c r="R39" s="196">
        <f>IF(P39,(P39-Q39)/P39,"NB")</f>
        <v>0.9975291504719601</v>
      </c>
    </row>
    <row r="40" spans="1:18" s="167" customFormat="1" ht="15">
      <c r="A40" s="207" t="s">
        <v>826</v>
      </c>
      <c r="B40" s="119" t="s">
        <v>818</v>
      </c>
      <c r="C40" s="119"/>
      <c r="D40" s="119"/>
      <c r="E40" s="119"/>
      <c r="F40" s="196"/>
      <c r="G40" s="196"/>
      <c r="H40" s="207">
        <v>230</v>
      </c>
      <c r="I40" s="370"/>
      <c r="J40" s="196">
        <f t="shared" si="0"/>
        <v>1</v>
      </c>
      <c r="K40" s="119"/>
      <c r="L40" s="119"/>
      <c r="M40" s="119"/>
      <c r="N40" s="196"/>
      <c r="O40" s="196"/>
      <c r="P40" s="156">
        <f t="shared" si="1"/>
        <v>230</v>
      </c>
      <c r="Q40" s="119">
        <v>1.22</v>
      </c>
      <c r="R40" s="196">
        <f>IF(P40,(P40-Q40)/P40,"NB")</f>
        <v>0.9946956521739131</v>
      </c>
    </row>
    <row r="41" spans="1:18" s="170" customFormat="1" ht="15.75">
      <c r="A41" s="177" t="s">
        <v>52</v>
      </c>
      <c r="B41" s="11" t="s">
        <v>53</v>
      </c>
      <c r="C41" s="101"/>
      <c r="D41" s="101"/>
      <c r="E41" s="101">
        <f>SUM(E42:E55)</f>
        <v>42</v>
      </c>
      <c r="F41" s="199"/>
      <c r="G41" s="199"/>
      <c r="H41" s="314">
        <f>SUM(H42:H52)</f>
        <v>88.72</v>
      </c>
      <c r="I41" s="168">
        <f>SUM(I42:I52)</f>
        <v>0.21</v>
      </c>
      <c r="J41" s="199">
        <f t="shared" si="0"/>
        <v>0.9976330027051399</v>
      </c>
      <c r="K41" s="101"/>
      <c r="L41" s="101"/>
      <c r="M41" s="101"/>
      <c r="N41" s="198"/>
      <c r="O41" s="198"/>
      <c r="P41" s="169">
        <f t="shared" si="1"/>
        <v>88.72</v>
      </c>
      <c r="Q41" s="168">
        <f>SUM(Q42:Q52)</f>
        <v>1.185</v>
      </c>
      <c r="R41" s="168">
        <f>IF(P41,(P41-Q41)/P41,"NB")</f>
        <v>0.9866433724075744</v>
      </c>
    </row>
    <row r="42" spans="1:18" ht="15.75">
      <c r="A42" s="268" t="s">
        <v>54</v>
      </c>
      <c r="B42" s="3" t="s">
        <v>420</v>
      </c>
      <c r="C42" s="1"/>
      <c r="D42" s="1"/>
      <c r="E42" s="1"/>
      <c r="F42" s="196"/>
      <c r="G42" s="196"/>
      <c r="H42" s="323"/>
      <c r="I42" s="108"/>
      <c r="J42" s="196" t="str">
        <f t="shared" si="0"/>
        <v>NB</v>
      </c>
      <c r="K42" s="1"/>
      <c r="L42" s="1"/>
      <c r="M42" s="1"/>
      <c r="N42" s="194"/>
      <c r="O42" s="194"/>
      <c r="P42" s="156">
        <f t="shared" si="1"/>
        <v>0</v>
      </c>
      <c r="Q42" s="1"/>
      <c r="R42" s="202" t="str">
        <f>IF(P42,(P42-Q42)/P42,"NB")</f>
        <v>NB</v>
      </c>
    </row>
    <row r="43" spans="1:18" ht="15">
      <c r="A43" s="268" t="s">
        <v>55</v>
      </c>
      <c r="B43" s="20" t="s">
        <v>56</v>
      </c>
      <c r="C43" s="21"/>
      <c r="D43" s="21"/>
      <c r="E43" s="21"/>
      <c r="F43" s="196"/>
      <c r="G43" s="196"/>
      <c r="H43" s="324"/>
      <c r="I43" s="107"/>
      <c r="J43" s="196" t="str">
        <f t="shared" si="0"/>
        <v>NB</v>
      </c>
      <c r="K43" s="21"/>
      <c r="L43" s="21"/>
      <c r="M43" s="21"/>
      <c r="N43" s="194"/>
      <c r="O43" s="194"/>
      <c r="P43" s="156">
        <f t="shared" si="1"/>
        <v>0</v>
      </c>
      <c r="Q43" s="21"/>
      <c r="R43" s="202" t="str">
        <f>IF(P43,(P43-Q43)/P43,"NB")</f>
        <v>NB</v>
      </c>
    </row>
    <row r="44" spans="1:18" ht="15">
      <c r="A44" s="268" t="s">
        <v>57</v>
      </c>
      <c r="B44" s="20" t="s">
        <v>58</v>
      </c>
      <c r="C44" s="21"/>
      <c r="D44" s="21"/>
      <c r="E44" s="21"/>
      <c r="F44" s="196"/>
      <c r="G44" s="196"/>
      <c r="H44" s="324"/>
      <c r="I44" s="107"/>
      <c r="J44" s="196" t="str">
        <f t="shared" si="0"/>
        <v>NB</v>
      </c>
      <c r="K44" s="21"/>
      <c r="L44" s="21"/>
      <c r="M44" s="21"/>
      <c r="N44" s="194"/>
      <c r="O44" s="194"/>
      <c r="P44" s="156">
        <f t="shared" si="1"/>
        <v>0</v>
      </c>
      <c r="Q44" s="21"/>
      <c r="R44" s="202" t="str">
        <f>IF(P44,(P44-Q44)/P44,"NB")</f>
        <v>NB</v>
      </c>
    </row>
    <row r="45" spans="1:18" ht="15">
      <c r="A45" s="268" t="s">
        <v>59</v>
      </c>
      <c r="B45" s="20" t="s">
        <v>62</v>
      </c>
      <c r="C45" s="21"/>
      <c r="D45" s="21"/>
      <c r="E45" s="21"/>
      <c r="F45" s="196"/>
      <c r="G45" s="196"/>
      <c r="H45" s="324"/>
      <c r="I45" s="107"/>
      <c r="J45" s="196" t="str">
        <f t="shared" si="0"/>
        <v>NB</v>
      </c>
      <c r="K45" s="21"/>
      <c r="L45" s="21"/>
      <c r="M45" s="21"/>
      <c r="N45" s="194"/>
      <c r="O45" s="194"/>
      <c r="P45" s="156">
        <f t="shared" si="1"/>
        <v>0</v>
      </c>
      <c r="Q45" s="21"/>
      <c r="R45" s="202" t="str">
        <f>IF(P45,(P45-Q45)/P45,"NB")</f>
        <v>NB</v>
      </c>
    </row>
    <row r="46" spans="1:18" ht="30">
      <c r="A46" s="268" t="s">
        <v>61</v>
      </c>
      <c r="B46" s="20" t="s">
        <v>64</v>
      </c>
      <c r="C46" s="21"/>
      <c r="D46" s="21"/>
      <c r="E46" s="21"/>
      <c r="F46" s="196"/>
      <c r="G46" s="196"/>
      <c r="H46" s="324"/>
      <c r="I46" s="107"/>
      <c r="J46" s="196" t="str">
        <f t="shared" si="0"/>
        <v>NB</v>
      </c>
      <c r="K46" s="21"/>
      <c r="L46" s="21"/>
      <c r="M46" s="21"/>
      <c r="N46" s="194"/>
      <c r="O46" s="194"/>
      <c r="P46" s="156">
        <f t="shared" si="1"/>
        <v>0</v>
      </c>
      <c r="Q46" s="21"/>
      <c r="R46" s="202" t="str">
        <f>IF(P46,(P46-Q46)/P46,"NB")</f>
        <v>NB</v>
      </c>
    </row>
    <row r="47" spans="1:18" ht="30">
      <c r="A47" s="268" t="s">
        <v>63</v>
      </c>
      <c r="B47" s="20" t="s">
        <v>387</v>
      </c>
      <c r="C47" s="21"/>
      <c r="D47" s="21">
        <v>1</v>
      </c>
      <c r="E47" s="21">
        <v>0</v>
      </c>
      <c r="F47" s="196"/>
      <c r="G47" s="196"/>
      <c r="H47" s="324">
        <v>0.5</v>
      </c>
      <c r="I47" s="107"/>
      <c r="J47" s="196">
        <f t="shared" si="0"/>
        <v>1</v>
      </c>
      <c r="K47" s="21"/>
      <c r="L47" s="21">
        <v>1</v>
      </c>
      <c r="M47" s="21">
        <v>0</v>
      </c>
      <c r="N47" s="194"/>
      <c r="O47" s="194"/>
      <c r="P47" s="156">
        <f t="shared" si="1"/>
        <v>0.5</v>
      </c>
      <c r="Q47" s="21"/>
      <c r="R47" s="202">
        <f>IF(P47,(P47-Q47)/P47,"NB")</f>
        <v>1</v>
      </c>
    </row>
    <row r="48" spans="1:18" ht="15">
      <c r="A48" s="268" t="s">
        <v>65</v>
      </c>
      <c r="B48" s="22" t="s">
        <v>67</v>
      </c>
      <c r="C48" s="14"/>
      <c r="D48" s="14"/>
      <c r="E48" s="14"/>
      <c r="F48" s="196"/>
      <c r="G48" s="196"/>
      <c r="H48" s="316"/>
      <c r="I48" s="103"/>
      <c r="J48" s="196" t="str">
        <f t="shared" si="0"/>
        <v>NB</v>
      </c>
      <c r="K48" s="14"/>
      <c r="L48" s="14"/>
      <c r="M48" s="14"/>
      <c r="N48" s="194"/>
      <c r="O48" s="194"/>
      <c r="P48" s="156">
        <f t="shared" si="1"/>
        <v>0</v>
      </c>
      <c r="Q48" s="14">
        <v>0.9750000000000001</v>
      </c>
      <c r="R48" s="202" t="str">
        <f>IF(P48,(P48-Q48)/P48,"NB")</f>
        <v>NB</v>
      </c>
    </row>
    <row r="49" spans="1:18" ht="15">
      <c r="A49" s="268" t="s">
        <v>66</v>
      </c>
      <c r="B49" s="22" t="s">
        <v>385</v>
      </c>
      <c r="C49" s="14"/>
      <c r="D49" s="14"/>
      <c r="E49" s="14"/>
      <c r="F49" s="196"/>
      <c r="G49" s="196"/>
      <c r="H49" s="316"/>
      <c r="I49" s="103"/>
      <c r="J49" s="196" t="str">
        <f t="shared" si="0"/>
        <v>NB</v>
      </c>
      <c r="K49" s="14"/>
      <c r="L49" s="14"/>
      <c r="M49" s="14"/>
      <c r="N49" s="194"/>
      <c r="O49" s="194"/>
      <c r="P49" s="131">
        <f>H49</f>
        <v>0</v>
      </c>
      <c r="Q49" s="14"/>
      <c r="R49" s="202" t="str">
        <f>IF(P49,(P49-Q49)/P49,"NB")</f>
        <v>NB</v>
      </c>
    </row>
    <row r="50" spans="1:18" ht="15" hidden="1">
      <c r="A50" s="268"/>
      <c r="B50" s="380" t="s">
        <v>469</v>
      </c>
      <c r="C50" s="381"/>
      <c r="D50" s="381"/>
      <c r="E50" s="381"/>
      <c r="F50" s="381"/>
      <c r="G50" s="381"/>
      <c r="H50" s="381"/>
      <c r="I50" s="381"/>
      <c r="J50" s="381"/>
      <c r="K50" s="381"/>
      <c r="L50" s="381"/>
      <c r="M50" s="381"/>
      <c r="N50" s="381"/>
      <c r="O50" s="381"/>
      <c r="P50" s="381"/>
      <c r="Q50" s="381"/>
      <c r="R50" s="382"/>
    </row>
    <row r="51" spans="1:18" ht="60">
      <c r="A51" s="268" t="s">
        <v>384</v>
      </c>
      <c r="B51" s="77" t="s">
        <v>477</v>
      </c>
      <c r="C51" s="18" t="s">
        <v>1008</v>
      </c>
      <c r="D51" s="18">
        <v>40989</v>
      </c>
      <c r="E51" s="18"/>
      <c r="F51" s="196"/>
      <c r="G51" s="196"/>
      <c r="H51" s="325">
        <v>83.62</v>
      </c>
      <c r="I51" s="147"/>
      <c r="J51" s="196">
        <f aca="true" t="shared" si="2" ref="J51:J82">IF(H51,(H51-I51)/H51,"NB")</f>
        <v>1</v>
      </c>
      <c r="K51" s="18" t="s">
        <v>1008</v>
      </c>
      <c r="L51" s="18">
        <v>40989</v>
      </c>
      <c r="M51" s="18"/>
      <c r="N51" s="194"/>
      <c r="O51" s="194"/>
      <c r="P51" s="162">
        <f>H51</f>
        <v>83.62</v>
      </c>
      <c r="Q51" s="18"/>
      <c r="R51" s="202">
        <f>IF(P51,(P51-Q51)/P51,"NB")</f>
        <v>1</v>
      </c>
    </row>
    <row r="52" spans="1:18" ht="20.25" customHeight="1">
      <c r="A52" s="268" t="s">
        <v>820</v>
      </c>
      <c r="B52" s="203" t="s">
        <v>822</v>
      </c>
      <c r="C52" s="18"/>
      <c r="D52" s="219"/>
      <c r="E52" s="9">
        <f>SUM(E53:E55)</f>
        <v>21</v>
      </c>
      <c r="F52" s="216"/>
      <c r="G52" s="216"/>
      <c r="H52" s="326">
        <v>4.6</v>
      </c>
      <c r="I52" s="157">
        <f>SUM(I53:I55)</f>
        <v>0.21</v>
      </c>
      <c r="J52" s="216">
        <f t="shared" si="2"/>
        <v>0.9543478260869566</v>
      </c>
      <c r="K52" s="217"/>
      <c r="L52" s="219"/>
      <c r="M52" s="219">
        <v>21</v>
      </c>
      <c r="N52" s="218"/>
      <c r="O52" s="218"/>
      <c r="P52" s="157">
        <f>SUM(P53:P55)</f>
        <v>0</v>
      </c>
      <c r="Q52" s="157">
        <f>SUM(Q53:Q55)</f>
        <v>0.21</v>
      </c>
      <c r="R52" s="205" t="str">
        <f>IF(P52,(P52-Q52)/P52,"NB")</f>
        <v>NB</v>
      </c>
    </row>
    <row r="53" spans="1:18" ht="30">
      <c r="A53" s="271" t="s">
        <v>821</v>
      </c>
      <c r="B53" s="210" t="s">
        <v>824</v>
      </c>
      <c r="C53" s="18"/>
      <c r="D53" s="18"/>
      <c r="E53" s="18"/>
      <c r="F53" s="196"/>
      <c r="G53" s="196"/>
      <c r="H53" s="325"/>
      <c r="I53" s="147"/>
      <c r="J53" s="196" t="str">
        <f t="shared" si="2"/>
        <v>NB</v>
      </c>
      <c r="K53" s="18"/>
      <c r="L53" s="18"/>
      <c r="M53" s="18"/>
      <c r="N53" s="194"/>
      <c r="O53" s="194"/>
      <c r="P53" s="162">
        <f>H53</f>
        <v>0</v>
      </c>
      <c r="Q53" s="18"/>
      <c r="R53" s="202" t="str">
        <f>IF(P53,(P53-Q53)/P53,"NB")</f>
        <v>NB</v>
      </c>
    </row>
    <row r="54" spans="1:18" ht="15">
      <c r="A54" s="268" t="s">
        <v>827</v>
      </c>
      <c r="B54" s="77" t="s">
        <v>813</v>
      </c>
      <c r="C54" s="18" t="s">
        <v>1007</v>
      </c>
      <c r="D54" s="18">
        <v>2300</v>
      </c>
      <c r="E54" s="18"/>
      <c r="F54" s="196"/>
      <c r="G54" s="196"/>
      <c r="H54" s="325"/>
      <c r="I54" s="147"/>
      <c r="J54" s="196" t="str">
        <f t="shared" si="2"/>
        <v>NB</v>
      </c>
      <c r="K54" s="18" t="s">
        <v>1007</v>
      </c>
      <c r="L54" s="18">
        <v>2300</v>
      </c>
      <c r="M54" s="18"/>
      <c r="N54" s="194"/>
      <c r="O54" s="194"/>
      <c r="P54" s="162">
        <f>H54</f>
        <v>0</v>
      </c>
      <c r="Q54" s="18"/>
      <c r="R54" s="202" t="str">
        <f>IF(P54,(P54-Q54)/P54,"NB")</f>
        <v>NB</v>
      </c>
    </row>
    <row r="55" spans="1:18" ht="30">
      <c r="A55" s="268" t="s">
        <v>828</v>
      </c>
      <c r="B55" s="77" t="s">
        <v>823</v>
      </c>
      <c r="C55" s="18"/>
      <c r="D55" s="18"/>
      <c r="E55" s="219">
        <v>21</v>
      </c>
      <c r="F55" s="196"/>
      <c r="G55" s="196"/>
      <c r="H55" s="325"/>
      <c r="I55" s="147">
        <v>0.21</v>
      </c>
      <c r="J55" s="196" t="str">
        <f t="shared" si="2"/>
        <v>NB</v>
      </c>
      <c r="K55" s="18"/>
      <c r="L55" s="18"/>
      <c r="M55" s="377">
        <f>E55</f>
        <v>21</v>
      </c>
      <c r="N55" s="194"/>
      <c r="O55" s="194"/>
      <c r="P55" s="162">
        <f>H55</f>
        <v>0</v>
      </c>
      <c r="Q55" s="18">
        <f>I55</f>
        <v>0.21</v>
      </c>
      <c r="R55" s="202" t="str">
        <f>IF(P55,(P55-Q55)/P55,"NB")</f>
        <v>NB</v>
      </c>
    </row>
    <row r="56" spans="1:18" s="170" customFormat="1" ht="15.75">
      <c r="A56" s="177" t="s">
        <v>68</v>
      </c>
      <c r="B56" s="11" t="s">
        <v>69</v>
      </c>
      <c r="C56" s="116"/>
      <c r="D56" s="101"/>
      <c r="E56" s="101"/>
      <c r="F56" s="199"/>
      <c r="G56" s="199"/>
      <c r="H56" s="314">
        <f>H57+H64+H70+H71+H72</f>
        <v>41.2</v>
      </c>
      <c r="I56" s="168">
        <f>I57+I64+I70+I71+I72</f>
        <v>2.23125</v>
      </c>
      <c r="J56" s="199">
        <f t="shared" si="2"/>
        <v>0.9458434466019416</v>
      </c>
      <c r="K56" s="101"/>
      <c r="L56" s="101"/>
      <c r="M56" s="101"/>
      <c r="N56" s="198"/>
      <c r="O56" s="198"/>
      <c r="P56" s="134">
        <f aca="true" t="shared" si="3" ref="P56:P119">H56</f>
        <v>41.2</v>
      </c>
      <c r="Q56" s="168">
        <f>Q57+Q64+Q70+Q71+Q72</f>
        <v>9.5409</v>
      </c>
      <c r="R56" s="168">
        <f>IF(P56,(P56-Q56)/P56,"NB")</f>
        <v>0.7684247572815534</v>
      </c>
    </row>
    <row r="57" spans="1:18" s="167" customFormat="1" ht="15.75">
      <c r="A57" s="177" t="s">
        <v>70</v>
      </c>
      <c r="B57" s="11" t="s">
        <v>71</v>
      </c>
      <c r="C57" s="116"/>
      <c r="D57" s="101"/>
      <c r="E57" s="101">
        <f>SUM(E58:E63)</f>
        <v>205</v>
      </c>
      <c r="F57" s="199"/>
      <c r="G57" s="199"/>
      <c r="H57" s="314">
        <f>SUM(H58:H63)</f>
        <v>27.7</v>
      </c>
      <c r="I57" s="168">
        <f>SUM(I58:I63)</f>
        <v>2.075</v>
      </c>
      <c r="J57" s="199">
        <f t="shared" si="2"/>
        <v>0.9250902527075813</v>
      </c>
      <c r="K57" s="101"/>
      <c r="L57" s="101"/>
      <c r="M57" s="101"/>
      <c r="N57" s="198"/>
      <c r="O57" s="198"/>
      <c r="P57" s="134">
        <f t="shared" si="3"/>
        <v>27.7</v>
      </c>
      <c r="Q57" s="168">
        <f>SUM(Q58:Q63)</f>
        <v>4.0215499999999995</v>
      </c>
      <c r="R57" s="168">
        <f>IF(P57,(P57-Q57)/P57,"NB")</f>
        <v>0.8548176895306858</v>
      </c>
    </row>
    <row r="58" spans="1:18" ht="45">
      <c r="A58" s="268" t="s">
        <v>72</v>
      </c>
      <c r="B58" s="23" t="s">
        <v>73</v>
      </c>
      <c r="C58" s="21" t="s">
        <v>1009</v>
      </c>
      <c r="D58" s="21">
        <v>10</v>
      </c>
      <c r="E58" s="21">
        <v>0</v>
      </c>
      <c r="F58" s="196"/>
      <c r="G58" s="196"/>
      <c r="H58" s="324">
        <v>2.5</v>
      </c>
      <c r="I58" s="107"/>
      <c r="J58" s="196">
        <f t="shared" si="2"/>
        <v>1</v>
      </c>
      <c r="K58" s="21" t="s">
        <v>1009</v>
      </c>
      <c r="L58" s="21">
        <v>10</v>
      </c>
      <c r="M58" s="21">
        <v>0</v>
      </c>
      <c r="N58" s="194"/>
      <c r="O58" s="194"/>
      <c r="P58" s="162">
        <f t="shared" si="3"/>
        <v>2.5</v>
      </c>
      <c r="Q58" s="21"/>
      <c r="R58" s="202">
        <f>IF(P58,(P58-Q58)/P58,"NB")</f>
        <v>1</v>
      </c>
    </row>
    <row r="59" spans="1:18" ht="30">
      <c r="A59" s="268" t="s">
        <v>74</v>
      </c>
      <c r="B59" s="23" t="s">
        <v>75</v>
      </c>
      <c r="C59" s="21" t="s">
        <v>1010</v>
      </c>
      <c r="D59" s="21">
        <v>10</v>
      </c>
      <c r="E59" s="21">
        <v>0</v>
      </c>
      <c r="F59" s="196"/>
      <c r="G59" s="196"/>
      <c r="H59" s="324">
        <v>1</v>
      </c>
      <c r="I59" s="107"/>
      <c r="J59" s="196">
        <f t="shared" si="2"/>
        <v>1</v>
      </c>
      <c r="K59" s="21" t="s">
        <v>1010</v>
      </c>
      <c r="L59" s="21">
        <v>10</v>
      </c>
      <c r="M59" s="21">
        <v>0</v>
      </c>
      <c r="N59" s="194"/>
      <c r="O59" s="194"/>
      <c r="P59" s="162">
        <f t="shared" si="3"/>
        <v>1</v>
      </c>
      <c r="Q59" s="21"/>
      <c r="R59" s="202">
        <f>IF(P59,(P59-Q59)/P59,"NB")</f>
        <v>1</v>
      </c>
    </row>
    <row r="60" spans="1:18" ht="30">
      <c r="A60" s="268" t="s">
        <v>76</v>
      </c>
      <c r="B60" s="23" t="s">
        <v>77</v>
      </c>
      <c r="C60" s="21" t="s">
        <v>1010</v>
      </c>
      <c r="D60" s="21">
        <v>10</v>
      </c>
      <c r="E60" s="21">
        <v>0</v>
      </c>
      <c r="F60" s="196"/>
      <c r="G60" s="196"/>
      <c r="H60" s="324">
        <v>1</v>
      </c>
      <c r="I60" s="107"/>
      <c r="J60" s="196">
        <f t="shared" si="2"/>
        <v>1</v>
      </c>
      <c r="K60" s="21" t="s">
        <v>1010</v>
      </c>
      <c r="L60" s="21">
        <v>10</v>
      </c>
      <c r="M60" s="21">
        <v>0</v>
      </c>
      <c r="N60" s="194"/>
      <c r="O60" s="194"/>
      <c r="P60" s="162">
        <f t="shared" si="3"/>
        <v>1</v>
      </c>
      <c r="Q60" s="21">
        <v>0.45335</v>
      </c>
      <c r="R60" s="202">
        <f>IF(P60,(P60-Q60)/P60,"NB")</f>
        <v>0.5466500000000001</v>
      </c>
    </row>
    <row r="61" spans="1:18" ht="15">
      <c r="A61" s="268" t="s">
        <v>78</v>
      </c>
      <c r="B61" s="23" t="s">
        <v>79</v>
      </c>
      <c r="C61" s="21" t="s">
        <v>1007</v>
      </c>
      <c r="D61" s="21">
        <v>2000</v>
      </c>
      <c r="E61" s="21">
        <v>174</v>
      </c>
      <c r="F61" s="196"/>
      <c r="G61" s="196"/>
      <c r="H61" s="324">
        <v>20.2</v>
      </c>
      <c r="I61" s="107">
        <v>1.76</v>
      </c>
      <c r="J61" s="196">
        <f t="shared" si="2"/>
        <v>0.9128712871287128</v>
      </c>
      <c r="K61" s="21" t="s">
        <v>1007</v>
      </c>
      <c r="L61" s="21">
        <v>2000</v>
      </c>
      <c r="M61" s="21">
        <f>248+E61</f>
        <v>422</v>
      </c>
      <c r="N61" s="194"/>
      <c r="O61" s="194"/>
      <c r="P61" s="162">
        <f t="shared" si="3"/>
        <v>20.2</v>
      </c>
      <c r="Q61" s="21">
        <f>1.1932+I61</f>
        <v>2.9532</v>
      </c>
      <c r="R61" s="202">
        <f>IF(P61,(P61-Q61)/P61,"NB")</f>
        <v>0.8538019801980199</v>
      </c>
    </row>
    <row r="62" spans="1:18" ht="15">
      <c r="A62" s="268" t="s">
        <v>80</v>
      </c>
      <c r="B62" s="23" t="s">
        <v>81</v>
      </c>
      <c r="C62" s="21" t="s">
        <v>1007</v>
      </c>
      <c r="D62" s="21">
        <v>300</v>
      </c>
      <c r="E62" s="21">
        <v>31</v>
      </c>
      <c r="F62" s="196"/>
      <c r="G62" s="196"/>
      <c r="H62" s="324">
        <v>3</v>
      </c>
      <c r="I62" s="107">
        <v>0.315</v>
      </c>
      <c r="J62" s="196">
        <f t="shared" si="2"/>
        <v>0.895</v>
      </c>
      <c r="K62" s="21" t="s">
        <v>1007</v>
      </c>
      <c r="L62" s="21">
        <v>300</v>
      </c>
      <c r="M62" s="21">
        <f>18+E62</f>
        <v>49</v>
      </c>
      <c r="N62" s="194"/>
      <c r="O62" s="194"/>
      <c r="P62" s="162">
        <f t="shared" si="3"/>
        <v>3</v>
      </c>
      <c r="Q62" s="21">
        <f>0.3+I62</f>
        <v>0.615</v>
      </c>
      <c r="R62" s="202">
        <f>IF(P62,(P62-Q62)/P62,"NB")</f>
        <v>0.7949999999999999</v>
      </c>
    </row>
    <row r="63" spans="1:18" ht="30">
      <c r="A63" s="268" t="s">
        <v>82</v>
      </c>
      <c r="B63" s="23" t="s">
        <v>83</v>
      </c>
      <c r="C63" s="21"/>
      <c r="D63" s="21"/>
      <c r="E63" s="21"/>
      <c r="F63" s="196"/>
      <c r="G63" s="196"/>
      <c r="H63" s="324"/>
      <c r="I63" s="107"/>
      <c r="J63" s="196" t="str">
        <f t="shared" si="2"/>
        <v>NB</v>
      </c>
      <c r="K63" s="21"/>
      <c r="L63" s="21"/>
      <c r="M63" s="21"/>
      <c r="N63" s="194"/>
      <c r="O63" s="194"/>
      <c r="P63" s="162">
        <f t="shared" si="3"/>
        <v>0</v>
      </c>
      <c r="Q63" s="21"/>
      <c r="R63" s="202" t="str">
        <f>IF(P63,(P63-Q63)/P63,"NB")</f>
        <v>NB</v>
      </c>
    </row>
    <row r="64" spans="1:18" s="167" customFormat="1" ht="15.75">
      <c r="A64" s="177" t="s">
        <v>84</v>
      </c>
      <c r="B64" s="11" t="s">
        <v>85</v>
      </c>
      <c r="C64" s="116"/>
      <c r="D64" s="101"/>
      <c r="E64" s="101">
        <f>SUM(E65:E69)</f>
        <v>30</v>
      </c>
      <c r="F64" s="199"/>
      <c r="G64" s="199"/>
      <c r="H64" s="314">
        <f>SUM(H65:H69)</f>
        <v>1.2</v>
      </c>
      <c r="I64" s="362">
        <f>SUM(I65:I69)</f>
        <v>0.00625</v>
      </c>
      <c r="J64" s="199">
        <f t="shared" si="2"/>
        <v>0.9947916666666666</v>
      </c>
      <c r="K64" s="101"/>
      <c r="L64" s="101"/>
      <c r="M64" s="101"/>
      <c r="N64" s="198"/>
      <c r="O64" s="198"/>
      <c r="P64" s="134">
        <f t="shared" si="3"/>
        <v>1.2</v>
      </c>
      <c r="Q64" s="168">
        <f>SUM(Q65:Q69)</f>
        <v>0.16435</v>
      </c>
      <c r="R64" s="168">
        <f>IF(P64,(P64-Q64)/P64,"NB")</f>
        <v>0.8630416666666667</v>
      </c>
    </row>
    <row r="65" spans="1:18" ht="15">
      <c r="A65" s="268" t="s">
        <v>86</v>
      </c>
      <c r="B65" s="23" t="s">
        <v>87</v>
      </c>
      <c r="C65" s="21"/>
      <c r="D65" s="107"/>
      <c r="E65" s="107"/>
      <c r="F65" s="196"/>
      <c r="G65" s="196"/>
      <c r="H65" s="324"/>
      <c r="I65" s="107"/>
      <c r="J65" s="196" t="str">
        <f t="shared" si="2"/>
        <v>NB</v>
      </c>
      <c r="K65" s="107"/>
      <c r="L65" s="107"/>
      <c r="M65" s="107"/>
      <c r="N65" s="194"/>
      <c r="O65" s="194"/>
      <c r="P65" s="162">
        <f t="shared" si="3"/>
        <v>0</v>
      </c>
      <c r="Q65" s="107"/>
      <c r="R65" s="202" t="str">
        <f>IF(P65,(P65-Q65)/P65,"NB")</f>
        <v>NB</v>
      </c>
    </row>
    <row r="66" spans="1:18" ht="15">
      <c r="A66" s="268" t="s">
        <v>88</v>
      </c>
      <c r="B66" s="23" t="s">
        <v>89</v>
      </c>
      <c r="C66" s="21" t="s">
        <v>1007</v>
      </c>
      <c r="D66" s="107">
        <v>6000</v>
      </c>
      <c r="E66" s="107">
        <v>30</v>
      </c>
      <c r="F66" s="196"/>
      <c r="G66" s="196"/>
      <c r="H66" s="324">
        <v>1.2</v>
      </c>
      <c r="I66" s="107">
        <v>0.00625</v>
      </c>
      <c r="J66" s="196">
        <f t="shared" si="2"/>
        <v>0.9947916666666666</v>
      </c>
      <c r="K66" s="107" t="s">
        <v>1007</v>
      </c>
      <c r="L66" s="107">
        <v>6000</v>
      </c>
      <c r="M66" s="107">
        <f>1192+E66</f>
        <v>1222</v>
      </c>
      <c r="N66" s="194"/>
      <c r="O66" s="194"/>
      <c r="P66" s="162">
        <f t="shared" si="3"/>
        <v>1.2</v>
      </c>
      <c r="Q66" s="107">
        <f>0.1581+I66</f>
        <v>0.16435</v>
      </c>
      <c r="R66" s="202">
        <f>IF(P66,(P66-Q66)/P66,"NB")</f>
        <v>0.8630416666666667</v>
      </c>
    </row>
    <row r="67" spans="1:18" ht="30.75">
      <c r="A67" s="268" t="s">
        <v>90</v>
      </c>
      <c r="B67" s="24" t="s">
        <v>421</v>
      </c>
      <c r="C67" s="1"/>
      <c r="D67" s="108"/>
      <c r="E67" s="108"/>
      <c r="F67" s="196"/>
      <c r="G67" s="196"/>
      <c r="H67" s="323"/>
      <c r="I67" s="108"/>
      <c r="J67" s="196" t="str">
        <f t="shared" si="2"/>
        <v>NB</v>
      </c>
      <c r="K67" s="108"/>
      <c r="L67" s="108"/>
      <c r="M67" s="108"/>
      <c r="N67" s="194"/>
      <c r="O67" s="194"/>
      <c r="P67" s="162">
        <f t="shared" si="3"/>
        <v>0</v>
      </c>
      <c r="Q67" s="108"/>
      <c r="R67" s="202" t="str">
        <f>IF(P67,(P67-Q67)/P67,"NB")</f>
        <v>NB</v>
      </c>
    </row>
    <row r="68" spans="1:18" ht="15">
      <c r="A68" s="268" t="s">
        <v>91</v>
      </c>
      <c r="B68" s="23" t="s">
        <v>92</v>
      </c>
      <c r="C68" s="21"/>
      <c r="D68" s="107"/>
      <c r="E68" s="107"/>
      <c r="F68" s="196"/>
      <c r="G68" s="196"/>
      <c r="H68" s="324"/>
      <c r="I68" s="107"/>
      <c r="J68" s="196" t="str">
        <f t="shared" si="2"/>
        <v>NB</v>
      </c>
      <c r="K68" s="107"/>
      <c r="L68" s="107"/>
      <c r="M68" s="107"/>
      <c r="N68" s="194"/>
      <c r="O68" s="194"/>
      <c r="P68" s="162">
        <f t="shared" si="3"/>
        <v>0</v>
      </c>
      <c r="Q68" s="107"/>
      <c r="R68" s="202" t="str">
        <f>IF(P68,(P68-Q68)/P68,"NB")</f>
        <v>NB</v>
      </c>
    </row>
    <row r="69" spans="1:18" ht="15">
      <c r="A69" s="268" t="s">
        <v>93</v>
      </c>
      <c r="B69" s="23" t="s">
        <v>94</v>
      </c>
      <c r="C69" s="21"/>
      <c r="D69" s="107"/>
      <c r="E69" s="107"/>
      <c r="F69" s="196"/>
      <c r="G69" s="196"/>
      <c r="H69" s="324"/>
      <c r="I69" s="107"/>
      <c r="J69" s="196" t="str">
        <f t="shared" si="2"/>
        <v>NB</v>
      </c>
      <c r="K69" s="107"/>
      <c r="L69" s="107"/>
      <c r="M69" s="107"/>
      <c r="N69" s="194"/>
      <c r="O69" s="194"/>
      <c r="P69" s="162">
        <f t="shared" si="3"/>
        <v>0</v>
      </c>
      <c r="Q69" s="107"/>
      <c r="R69" s="202" t="str">
        <f>IF(P69,(P69-Q69)/P69,"NB")</f>
        <v>NB</v>
      </c>
    </row>
    <row r="70" spans="1:18" ht="15.75">
      <c r="A70" s="270" t="s">
        <v>95</v>
      </c>
      <c r="B70" s="25" t="s">
        <v>307</v>
      </c>
      <c r="C70" s="14"/>
      <c r="D70" s="103"/>
      <c r="E70" s="103"/>
      <c r="F70" s="196"/>
      <c r="G70" s="196"/>
      <c r="H70" s="316"/>
      <c r="I70" s="103"/>
      <c r="J70" s="196" t="str">
        <f t="shared" si="2"/>
        <v>NB</v>
      </c>
      <c r="K70" s="103"/>
      <c r="L70" s="103"/>
      <c r="M70" s="103"/>
      <c r="N70" s="194"/>
      <c r="O70" s="194"/>
      <c r="P70" s="162">
        <f t="shared" si="3"/>
        <v>0</v>
      </c>
      <c r="Q70" s="103"/>
      <c r="R70" s="202" t="str">
        <f>IF(P70,(P70-Q70)/P70,"NB")</f>
        <v>NB</v>
      </c>
    </row>
    <row r="71" spans="1:18" ht="15.75">
      <c r="A71" s="270" t="s">
        <v>96</v>
      </c>
      <c r="B71" s="25" t="s">
        <v>308</v>
      </c>
      <c r="C71" s="1"/>
      <c r="D71" s="108"/>
      <c r="E71" s="108"/>
      <c r="F71" s="196"/>
      <c r="G71" s="196"/>
      <c r="H71" s="323"/>
      <c r="I71" s="108"/>
      <c r="J71" s="196" t="str">
        <f t="shared" si="2"/>
        <v>NB</v>
      </c>
      <c r="K71" s="108"/>
      <c r="L71" s="108"/>
      <c r="M71" s="108"/>
      <c r="N71" s="194"/>
      <c r="O71" s="194"/>
      <c r="P71" s="162">
        <f t="shared" si="3"/>
        <v>0</v>
      </c>
      <c r="Q71" s="108"/>
      <c r="R71" s="202" t="str">
        <f>IF(P71,(P71-Q71)/P71,"NB")</f>
        <v>NB</v>
      </c>
    </row>
    <row r="72" spans="1:18" ht="63">
      <c r="A72" s="270" t="s">
        <v>478</v>
      </c>
      <c r="B72" s="25" t="s">
        <v>67</v>
      </c>
      <c r="C72" s="1" t="s">
        <v>1011</v>
      </c>
      <c r="D72" s="108" t="s">
        <v>1012</v>
      </c>
      <c r="E72" s="108" t="s">
        <v>1012</v>
      </c>
      <c r="F72" s="196"/>
      <c r="G72" s="196"/>
      <c r="H72" s="323">
        <f>0.2+0.5+2.7+0.75+8.15</f>
        <v>12.3</v>
      </c>
      <c r="I72" s="108">
        <v>0.15</v>
      </c>
      <c r="J72" s="196">
        <f t="shared" si="2"/>
        <v>0.9878048780487805</v>
      </c>
      <c r="K72" s="108" t="s">
        <v>1011</v>
      </c>
      <c r="L72" s="108" t="s">
        <v>1012</v>
      </c>
      <c r="M72" s="108" t="s">
        <v>1012</v>
      </c>
      <c r="N72" s="194"/>
      <c r="O72" s="194"/>
      <c r="P72" s="162">
        <f t="shared" si="3"/>
        <v>12.3</v>
      </c>
      <c r="Q72" s="108">
        <f>5.205+I72</f>
        <v>5.355</v>
      </c>
      <c r="R72" s="202">
        <f>IF(P72,(P72-Q72)/P72,"NB")</f>
        <v>0.5646341463414634</v>
      </c>
    </row>
    <row r="73" spans="1:18" s="167" customFormat="1" ht="31.5">
      <c r="A73" s="177" t="s">
        <v>97</v>
      </c>
      <c r="B73" s="11" t="s">
        <v>748</v>
      </c>
      <c r="C73" s="116"/>
      <c r="D73" s="101"/>
      <c r="E73" s="101">
        <f>SUM(E74:E76)</f>
        <v>29</v>
      </c>
      <c r="F73" s="199"/>
      <c r="G73" s="199"/>
      <c r="H73" s="314">
        <f>SUM(H74:H76)</f>
        <v>113.51</v>
      </c>
      <c r="I73" s="168">
        <f>SUM(I74:I76)</f>
        <v>0.728</v>
      </c>
      <c r="J73" s="199">
        <f t="shared" si="2"/>
        <v>0.9935864681525858</v>
      </c>
      <c r="K73" s="101"/>
      <c r="L73" s="101"/>
      <c r="M73" s="101"/>
      <c r="N73" s="198"/>
      <c r="O73" s="198"/>
      <c r="P73" s="134">
        <f t="shared" si="3"/>
        <v>113.51</v>
      </c>
      <c r="Q73" s="168">
        <f>SUM(Q74:Q76)</f>
        <v>3.034</v>
      </c>
      <c r="R73" s="168">
        <f>IF(P73,(P73-Q73)/P73,"NB")</f>
        <v>0.9732710774381111</v>
      </c>
    </row>
    <row r="74" spans="1:18" ht="15">
      <c r="A74" s="268" t="s">
        <v>98</v>
      </c>
      <c r="B74" s="20" t="s">
        <v>99</v>
      </c>
      <c r="C74" s="14" t="s">
        <v>1013</v>
      </c>
      <c r="D74" s="103"/>
      <c r="E74" s="14">
        <v>20</v>
      </c>
      <c r="F74" s="196"/>
      <c r="G74" s="196"/>
      <c r="H74" s="316">
        <f>1.6+99.51</f>
        <v>101.11</v>
      </c>
      <c r="I74" s="103">
        <f>0.37+0.25</f>
        <v>0.62</v>
      </c>
      <c r="J74" s="196">
        <f t="shared" si="2"/>
        <v>0.993868064484225</v>
      </c>
      <c r="K74" s="14" t="s">
        <v>1013</v>
      </c>
      <c r="L74" s="103"/>
      <c r="M74" s="14">
        <v>20</v>
      </c>
      <c r="N74" s="194"/>
      <c r="O74" s="194"/>
      <c r="P74" s="162">
        <f t="shared" si="3"/>
        <v>101.11</v>
      </c>
      <c r="Q74" s="14">
        <f>I74</f>
        <v>0.62</v>
      </c>
      <c r="R74" s="202">
        <f>IF(P74,(P74-Q74)/P74,"NB")</f>
        <v>0.993868064484225</v>
      </c>
    </row>
    <row r="75" spans="1:18" ht="15">
      <c r="A75" s="268" t="s">
        <v>100</v>
      </c>
      <c r="B75" s="20" t="s">
        <v>60</v>
      </c>
      <c r="C75" s="14"/>
      <c r="D75" s="103"/>
      <c r="E75" s="14">
        <v>9</v>
      </c>
      <c r="F75" s="196"/>
      <c r="G75" s="196"/>
      <c r="H75" s="316">
        <f>1.4+8.6</f>
        <v>10</v>
      </c>
      <c r="I75" s="103">
        <v>0.108</v>
      </c>
      <c r="J75" s="196">
        <f t="shared" si="2"/>
        <v>0.9892</v>
      </c>
      <c r="K75" s="14"/>
      <c r="L75" s="103"/>
      <c r="M75" s="14">
        <v>9</v>
      </c>
      <c r="N75" s="194"/>
      <c r="O75" s="194"/>
      <c r="P75" s="162">
        <f t="shared" si="3"/>
        <v>10</v>
      </c>
      <c r="Q75" s="14">
        <f>1.906+I75</f>
        <v>2.014</v>
      </c>
      <c r="R75" s="202">
        <f>IF(P75,(P75-Q75)/P75,"NB")</f>
        <v>0.7986000000000001</v>
      </c>
    </row>
    <row r="76" spans="1:18" ht="15.75">
      <c r="A76" s="268" t="s">
        <v>581</v>
      </c>
      <c r="B76" s="22" t="s">
        <v>67</v>
      </c>
      <c r="C76" s="1"/>
      <c r="D76" s="108" t="s">
        <v>1014</v>
      </c>
      <c r="E76" s="1">
        <v>0</v>
      </c>
      <c r="F76" s="196"/>
      <c r="G76" s="196"/>
      <c r="H76" s="323">
        <f>2.4</f>
        <v>2.4</v>
      </c>
      <c r="I76" s="108"/>
      <c r="J76" s="196">
        <f t="shared" si="2"/>
        <v>1</v>
      </c>
      <c r="K76" s="1"/>
      <c r="L76" s="108"/>
      <c r="M76" s="1"/>
      <c r="N76" s="194"/>
      <c r="O76" s="194"/>
      <c r="P76" s="162">
        <f t="shared" si="3"/>
        <v>2.4</v>
      </c>
      <c r="Q76" s="1">
        <v>0.4</v>
      </c>
      <c r="R76" s="202">
        <f>IF(P76,(P76-Q76)/P76,"NB")</f>
        <v>0.8333333333333334</v>
      </c>
    </row>
    <row r="77" spans="1:18" s="176" customFormat="1" ht="15.75">
      <c r="A77" s="273" t="s">
        <v>101</v>
      </c>
      <c r="B77" s="11" t="s">
        <v>102</v>
      </c>
      <c r="C77" s="173"/>
      <c r="D77" s="174"/>
      <c r="E77" s="174">
        <v>4</v>
      </c>
      <c r="F77" s="199"/>
      <c r="G77" s="199"/>
      <c r="H77" s="327">
        <f>88</f>
        <v>88</v>
      </c>
      <c r="I77" s="174">
        <v>1.625</v>
      </c>
      <c r="J77" s="199">
        <f t="shared" si="2"/>
        <v>0.9815340909090909</v>
      </c>
      <c r="K77" s="174"/>
      <c r="L77" s="174"/>
      <c r="M77" s="174"/>
      <c r="N77" s="198"/>
      <c r="O77" s="198"/>
      <c r="P77" s="134">
        <f t="shared" si="3"/>
        <v>88</v>
      </c>
      <c r="Q77" s="174">
        <f>12.80001+I77</f>
        <v>14.42501</v>
      </c>
      <c r="R77" s="174">
        <f>IF(P77,(P77-Q77)/P77,"NB")</f>
        <v>0.8360794318181818</v>
      </c>
    </row>
    <row r="78" spans="1:18" s="176" customFormat="1" ht="15.75">
      <c r="A78" s="273" t="s">
        <v>103</v>
      </c>
      <c r="B78" s="11" t="s">
        <v>104</v>
      </c>
      <c r="C78" s="173"/>
      <c r="D78" s="174"/>
      <c r="E78" s="174"/>
      <c r="F78" s="199"/>
      <c r="G78" s="199"/>
      <c r="H78" s="327">
        <f>6.09+3.6+5.48</f>
        <v>15.17</v>
      </c>
      <c r="I78" s="174">
        <v>0.4</v>
      </c>
      <c r="J78" s="199">
        <f t="shared" si="2"/>
        <v>0.97363216875412</v>
      </c>
      <c r="K78" s="174"/>
      <c r="L78" s="174"/>
      <c r="M78" s="174"/>
      <c r="N78" s="198"/>
      <c r="O78" s="198"/>
      <c r="P78" s="134">
        <f t="shared" si="3"/>
        <v>15.17</v>
      </c>
      <c r="Q78" s="174">
        <f>2.23928+I78</f>
        <v>2.63928</v>
      </c>
      <c r="R78" s="174">
        <f>IF(P78,(P78-Q78)/P78,"NB")</f>
        <v>0.8260197758734344</v>
      </c>
    </row>
    <row r="79" spans="1:18" s="176" customFormat="1" ht="15.75">
      <c r="A79" s="177" t="s">
        <v>105</v>
      </c>
      <c r="B79" s="11" t="s">
        <v>236</v>
      </c>
      <c r="C79" s="173"/>
      <c r="D79" s="174"/>
      <c r="E79" s="174"/>
      <c r="F79" s="199"/>
      <c r="G79" s="199"/>
      <c r="H79" s="327">
        <f>SUM(H80:H81)</f>
        <v>14.16</v>
      </c>
      <c r="I79" s="175">
        <f>SUM(I80:I81)</f>
        <v>0</v>
      </c>
      <c r="J79" s="199">
        <f t="shared" si="2"/>
        <v>1</v>
      </c>
      <c r="K79" s="174"/>
      <c r="L79" s="174"/>
      <c r="M79" s="174"/>
      <c r="N79" s="198"/>
      <c r="O79" s="198"/>
      <c r="P79" s="134">
        <f t="shared" si="3"/>
        <v>14.16</v>
      </c>
      <c r="Q79" s="175">
        <f>SUM(Q80:Q81)</f>
        <v>0.2</v>
      </c>
      <c r="R79" s="175">
        <f>IF(P79,(P79-Q79)/P79,"NB")</f>
        <v>0.9858757062146893</v>
      </c>
    </row>
    <row r="80" spans="1:18" ht="157.5">
      <c r="A80" s="271" t="s">
        <v>750</v>
      </c>
      <c r="B80" s="122" t="s">
        <v>749</v>
      </c>
      <c r="C80" s="54" t="s">
        <v>1015</v>
      </c>
      <c r="D80" s="98">
        <v>3</v>
      </c>
      <c r="E80" s="98">
        <v>0</v>
      </c>
      <c r="F80" s="196"/>
      <c r="G80" s="196"/>
      <c r="H80" s="328">
        <f>1.8+1.2+0.96+1.2+1.8</f>
        <v>6.96</v>
      </c>
      <c r="I80" s="98"/>
      <c r="J80" s="196">
        <f t="shared" si="2"/>
        <v>1</v>
      </c>
      <c r="K80" s="54" t="s">
        <v>1015</v>
      </c>
      <c r="L80" s="98">
        <v>3</v>
      </c>
      <c r="M80" s="98">
        <v>0</v>
      </c>
      <c r="N80" s="194"/>
      <c r="O80" s="194"/>
      <c r="P80" s="163">
        <f t="shared" si="3"/>
        <v>6.96</v>
      </c>
      <c r="Q80" s="98">
        <v>0.2</v>
      </c>
      <c r="R80" s="202">
        <f>IF(P80,(P80-Q80)/P80,"NB")</f>
        <v>0.9712643678160919</v>
      </c>
    </row>
    <row r="81" spans="1:18" ht="15.75">
      <c r="A81" s="271" t="s">
        <v>751</v>
      </c>
      <c r="B81" s="122" t="s">
        <v>576</v>
      </c>
      <c r="C81" s="54"/>
      <c r="D81" s="98"/>
      <c r="E81" s="98"/>
      <c r="F81" s="196"/>
      <c r="G81" s="196"/>
      <c r="H81" s="328">
        <f>1.8+5.4</f>
        <v>7.2</v>
      </c>
      <c r="I81" s="98"/>
      <c r="J81" s="196">
        <f t="shared" si="2"/>
        <v>1</v>
      </c>
      <c r="K81" s="98"/>
      <c r="L81" s="98"/>
      <c r="M81" s="98"/>
      <c r="N81" s="194"/>
      <c r="O81" s="194"/>
      <c r="P81" s="163">
        <f t="shared" si="3"/>
        <v>7.2</v>
      </c>
      <c r="Q81" s="98"/>
      <c r="R81" s="202">
        <f>IF(P81,(P81-Q81)/P81,"NB")</f>
        <v>1</v>
      </c>
    </row>
    <row r="82" spans="1:18" s="167" customFormat="1" ht="31.5">
      <c r="A82" s="273" t="s">
        <v>106</v>
      </c>
      <c r="B82" s="11" t="s">
        <v>381</v>
      </c>
      <c r="C82" s="177"/>
      <c r="D82" s="101"/>
      <c r="E82" s="101">
        <f>E83+E94</f>
        <v>59</v>
      </c>
      <c r="F82" s="199"/>
      <c r="G82" s="199"/>
      <c r="H82" s="314">
        <f>H83+H94</f>
        <v>893.5399999999998</v>
      </c>
      <c r="I82" s="168">
        <f>I83+I94</f>
        <v>44.00999999999999</v>
      </c>
      <c r="J82" s="199">
        <f t="shared" si="2"/>
        <v>0.950746469100432</v>
      </c>
      <c r="K82" s="101"/>
      <c r="L82" s="101"/>
      <c r="M82" s="101"/>
      <c r="N82" s="198"/>
      <c r="O82" s="198"/>
      <c r="P82" s="134">
        <f t="shared" si="3"/>
        <v>893.5399999999998</v>
      </c>
      <c r="Q82" s="168">
        <f>Q83+Q94</f>
        <v>360.42735</v>
      </c>
      <c r="R82" s="168">
        <f>IF(P82,(P82-Q82)/P82,"NB")</f>
        <v>0.5966298654788816</v>
      </c>
    </row>
    <row r="83" spans="1:18" s="167" customFormat="1" ht="31.5">
      <c r="A83" s="273" t="s">
        <v>582</v>
      </c>
      <c r="B83" s="27" t="s">
        <v>369</v>
      </c>
      <c r="C83" s="178"/>
      <c r="D83" s="101"/>
      <c r="E83" s="101">
        <f>SUM(E84:E93)</f>
        <v>59</v>
      </c>
      <c r="F83" s="199"/>
      <c r="G83" s="199"/>
      <c r="H83" s="314">
        <f>SUM(H84:H93)</f>
        <v>888.5399999999998</v>
      </c>
      <c r="I83" s="168">
        <f>SUM(I84:I93)</f>
        <v>44.00999999999999</v>
      </c>
      <c r="J83" s="199">
        <f aca="true" t="shared" si="4" ref="J83:J114">IF(H83,(H83-I83)/H83,"NB")</f>
        <v>0.9504693092038625</v>
      </c>
      <c r="K83" s="101"/>
      <c r="L83" s="101"/>
      <c r="M83" s="101"/>
      <c r="N83" s="198"/>
      <c r="O83" s="198"/>
      <c r="P83" s="134">
        <f t="shared" si="3"/>
        <v>888.5399999999998</v>
      </c>
      <c r="Q83" s="168">
        <f>SUM(Q84:Q93)</f>
        <v>348.42735</v>
      </c>
      <c r="R83" s="168">
        <f>IF(P83,(P83-Q83)/P83,"NB")</f>
        <v>0.6078653183874669</v>
      </c>
    </row>
    <row r="84" spans="1:18" ht="21.75" customHeight="1">
      <c r="A84" s="269" t="s">
        <v>583</v>
      </c>
      <c r="B84" s="23" t="s">
        <v>366</v>
      </c>
      <c r="C84" s="28"/>
      <c r="D84" s="28">
        <v>656</v>
      </c>
      <c r="E84" s="28">
        <v>50</v>
      </c>
      <c r="F84" s="196"/>
      <c r="G84" s="196"/>
      <c r="H84" s="324">
        <f>686.4</f>
        <v>686.4</v>
      </c>
      <c r="I84" s="107">
        <v>35.454</v>
      </c>
      <c r="J84" s="196">
        <f t="shared" si="4"/>
        <v>0.9483479020979022</v>
      </c>
      <c r="K84" s="28"/>
      <c r="L84" s="268">
        <v>656</v>
      </c>
      <c r="M84" s="268">
        <f>576+E84</f>
        <v>626</v>
      </c>
      <c r="N84" s="194"/>
      <c r="O84" s="194"/>
      <c r="P84" s="162">
        <f t="shared" si="3"/>
        <v>686.4</v>
      </c>
      <c r="Q84" s="363">
        <f>234.12014+I84</f>
        <v>269.57414</v>
      </c>
      <c r="R84" s="202">
        <f>IF(P84,(P84-Q84)/P84,"NB")</f>
        <v>0.6072637820512821</v>
      </c>
    </row>
    <row r="85" spans="1:18" ht="24.75" customHeight="1">
      <c r="A85" s="269" t="s">
        <v>584</v>
      </c>
      <c r="B85" s="23" t="s">
        <v>367</v>
      </c>
      <c r="C85" s="28"/>
      <c r="D85" s="28">
        <v>117</v>
      </c>
      <c r="E85" s="28">
        <v>3</v>
      </c>
      <c r="F85" s="196"/>
      <c r="G85" s="196"/>
      <c r="H85" s="324">
        <f>38.76+49.68+4.08</f>
        <v>92.52</v>
      </c>
      <c r="I85" s="107">
        <v>2.163</v>
      </c>
      <c r="J85" s="196">
        <f t="shared" si="4"/>
        <v>0.9766212710765241</v>
      </c>
      <c r="K85" s="28"/>
      <c r="L85" s="268">
        <v>117</v>
      </c>
      <c r="M85" s="268">
        <f>42+E85</f>
        <v>45</v>
      </c>
      <c r="N85" s="194"/>
      <c r="O85" s="194"/>
      <c r="P85" s="162">
        <f t="shared" si="3"/>
        <v>92.52</v>
      </c>
      <c r="Q85" s="363">
        <f>18.5305+I85</f>
        <v>20.6935</v>
      </c>
      <c r="R85" s="202">
        <f>IF(P85,(P85-Q85)/P85,"NB")</f>
        <v>0.7763348465196714</v>
      </c>
    </row>
    <row r="86" spans="1:18" ht="61.5" customHeight="1">
      <c r="A86" s="274" t="s">
        <v>585</v>
      </c>
      <c r="B86" s="23" t="s">
        <v>388</v>
      </c>
      <c r="C86" s="28"/>
      <c r="D86" s="28">
        <v>11</v>
      </c>
      <c r="E86" s="28">
        <v>0</v>
      </c>
      <c r="F86" s="196"/>
      <c r="G86" s="196"/>
      <c r="H86" s="324">
        <v>59.4</v>
      </c>
      <c r="I86" s="107">
        <v>0</v>
      </c>
      <c r="J86" s="196">
        <f t="shared" si="4"/>
        <v>1</v>
      </c>
      <c r="K86" s="28"/>
      <c r="L86" s="268">
        <v>11</v>
      </c>
      <c r="M86" s="268">
        <v>1</v>
      </c>
      <c r="N86" s="194"/>
      <c r="O86" s="194"/>
      <c r="P86" s="162">
        <f t="shared" si="3"/>
        <v>59.4</v>
      </c>
      <c r="Q86" s="363">
        <f>8.04285+I86</f>
        <v>8.04285</v>
      </c>
      <c r="R86" s="202">
        <f>IF(P86,(P86-Q86)/P86,"NB")</f>
        <v>0.8645984848484848</v>
      </c>
    </row>
    <row r="87" spans="1:18" ht="15.75" customHeight="1">
      <c r="A87" s="274" t="s">
        <v>586</v>
      </c>
      <c r="B87" s="29" t="s">
        <v>368</v>
      </c>
      <c r="C87" s="28"/>
      <c r="D87" s="28">
        <v>14</v>
      </c>
      <c r="E87" s="28">
        <v>3</v>
      </c>
      <c r="F87" s="196"/>
      <c r="G87" s="196"/>
      <c r="H87" s="324">
        <v>23.52</v>
      </c>
      <c r="I87" s="107">
        <v>1.498</v>
      </c>
      <c r="J87" s="196">
        <f t="shared" si="4"/>
        <v>0.9363095238095238</v>
      </c>
      <c r="K87" s="28"/>
      <c r="L87" s="268">
        <v>14</v>
      </c>
      <c r="M87" s="268">
        <f>14+E87</f>
        <v>17</v>
      </c>
      <c r="N87" s="194"/>
      <c r="O87" s="194"/>
      <c r="P87" s="162">
        <f t="shared" si="3"/>
        <v>23.52</v>
      </c>
      <c r="Q87" s="363">
        <f>6.54475+I87</f>
        <v>8.04275</v>
      </c>
      <c r="R87" s="202">
        <f>IF(P87,(P87-Q87)/P87,"NB")</f>
        <v>0.658046343537415</v>
      </c>
    </row>
    <row r="88" spans="1:18" ht="18.75" customHeight="1">
      <c r="A88" s="274" t="s">
        <v>587</v>
      </c>
      <c r="B88" s="30" t="s">
        <v>365</v>
      </c>
      <c r="C88" s="28"/>
      <c r="D88" s="28">
        <v>4</v>
      </c>
      <c r="E88" s="28">
        <v>3</v>
      </c>
      <c r="F88" s="196"/>
      <c r="G88" s="196"/>
      <c r="H88" s="324">
        <v>14.4</v>
      </c>
      <c r="I88" s="107">
        <v>1.251</v>
      </c>
      <c r="J88" s="196">
        <f t="shared" si="4"/>
        <v>0.9131250000000001</v>
      </c>
      <c r="K88" s="28"/>
      <c r="L88" s="268">
        <v>4</v>
      </c>
      <c r="M88" s="268">
        <f>4+E88</f>
        <v>7</v>
      </c>
      <c r="N88" s="194"/>
      <c r="O88" s="194"/>
      <c r="P88" s="162">
        <f t="shared" si="3"/>
        <v>14.4</v>
      </c>
      <c r="Q88" s="363">
        <f>8.81261+I88</f>
        <v>10.063609999999999</v>
      </c>
      <c r="R88" s="202">
        <f>IF(P88,(P88-Q88)/P88,"NB")</f>
        <v>0.30113819444444456</v>
      </c>
    </row>
    <row r="89" spans="1:18" ht="33" customHeight="1">
      <c r="A89" s="274" t="s">
        <v>588</v>
      </c>
      <c r="B89" s="30" t="s">
        <v>309</v>
      </c>
      <c r="C89" s="28"/>
      <c r="D89" s="28"/>
      <c r="E89" s="28"/>
      <c r="F89" s="196"/>
      <c r="G89" s="196"/>
      <c r="H89" s="324"/>
      <c r="I89" s="107">
        <v>0</v>
      </c>
      <c r="J89" s="196" t="str">
        <f t="shared" si="4"/>
        <v>NB</v>
      </c>
      <c r="K89" s="28"/>
      <c r="L89" s="268"/>
      <c r="M89" s="268"/>
      <c r="N89" s="194"/>
      <c r="O89" s="194"/>
      <c r="P89" s="162">
        <f t="shared" si="3"/>
        <v>0</v>
      </c>
      <c r="Q89" s="363">
        <v>3.8975</v>
      </c>
      <c r="R89" s="202" t="str">
        <f>IF(P89,(P89-Q89)/P89,"NB")</f>
        <v>NB</v>
      </c>
    </row>
    <row r="90" spans="1:18" ht="30">
      <c r="A90" s="274" t="s">
        <v>589</v>
      </c>
      <c r="B90" s="23" t="s">
        <v>371</v>
      </c>
      <c r="C90" s="34"/>
      <c r="D90" s="34"/>
      <c r="E90" s="34"/>
      <c r="F90" s="196"/>
      <c r="G90" s="196"/>
      <c r="H90" s="324">
        <f>9.18+3.12</f>
        <v>12.3</v>
      </c>
      <c r="I90" s="107">
        <v>0</v>
      </c>
      <c r="J90" s="196">
        <f t="shared" si="4"/>
        <v>1</v>
      </c>
      <c r="K90" s="34"/>
      <c r="L90" s="268"/>
      <c r="M90" s="268"/>
      <c r="N90" s="194"/>
      <c r="O90" s="194"/>
      <c r="P90" s="162">
        <f t="shared" si="3"/>
        <v>12.3</v>
      </c>
      <c r="Q90" s="363">
        <v>0</v>
      </c>
      <c r="R90" s="202">
        <f>IF(P90,(P90-Q90)/P90,"NB")</f>
        <v>1</v>
      </c>
    </row>
    <row r="91" spans="1:18" ht="23.25" customHeight="1">
      <c r="A91" s="274" t="s">
        <v>590</v>
      </c>
      <c r="B91" s="23" t="s">
        <v>370</v>
      </c>
      <c r="C91" s="34"/>
      <c r="D91" s="34"/>
      <c r="E91" s="34"/>
      <c r="F91" s="196"/>
      <c r="G91" s="196"/>
      <c r="H91" s="324"/>
      <c r="I91" s="107">
        <v>0</v>
      </c>
      <c r="J91" s="196" t="str">
        <f t="shared" si="4"/>
        <v>NB</v>
      </c>
      <c r="K91" s="34"/>
      <c r="L91" s="268"/>
      <c r="M91" s="268"/>
      <c r="N91" s="194"/>
      <c r="O91" s="194"/>
      <c r="P91" s="162">
        <f t="shared" si="3"/>
        <v>0</v>
      </c>
      <c r="Q91" s="363">
        <v>10.435</v>
      </c>
      <c r="R91" s="202" t="str">
        <f>IF(P91,(P91-Q91)/P91,"NB")</f>
        <v>NB</v>
      </c>
    </row>
    <row r="92" spans="1:18" ht="30">
      <c r="A92" s="274" t="s">
        <v>591</v>
      </c>
      <c r="B92" s="31" t="s">
        <v>372</v>
      </c>
      <c r="C92" s="21"/>
      <c r="D92" s="21"/>
      <c r="E92" s="21"/>
      <c r="F92" s="196"/>
      <c r="G92" s="196"/>
      <c r="H92" s="324"/>
      <c r="I92" s="107">
        <v>0.604</v>
      </c>
      <c r="J92" s="196" t="str">
        <f t="shared" si="4"/>
        <v>NB</v>
      </c>
      <c r="K92" s="21"/>
      <c r="L92" s="268"/>
      <c r="M92" s="268"/>
      <c r="N92" s="194"/>
      <c r="O92" s="194"/>
      <c r="P92" s="162">
        <f t="shared" si="3"/>
        <v>0</v>
      </c>
      <c r="Q92" s="21">
        <f>2.416+I92</f>
        <v>3.02</v>
      </c>
      <c r="R92" s="202" t="str">
        <f>IF(P92,(P92-Q92)/P92,"NB")</f>
        <v>NB</v>
      </c>
    </row>
    <row r="93" spans="1:18" ht="15">
      <c r="A93" s="274" t="s">
        <v>592</v>
      </c>
      <c r="B93" s="30" t="s">
        <v>310</v>
      </c>
      <c r="C93" s="32"/>
      <c r="D93" s="32">
        <v>10</v>
      </c>
      <c r="E93" s="32"/>
      <c r="F93" s="196"/>
      <c r="G93" s="196"/>
      <c r="H93" s="329"/>
      <c r="I93" s="110">
        <v>3.04</v>
      </c>
      <c r="J93" s="196" t="str">
        <f t="shared" si="4"/>
        <v>NB</v>
      </c>
      <c r="K93" s="32"/>
      <c r="L93" s="281">
        <v>10</v>
      </c>
      <c r="M93" s="281">
        <v>9</v>
      </c>
      <c r="N93" s="194"/>
      <c r="O93" s="194"/>
      <c r="P93" s="162">
        <f t="shared" si="3"/>
        <v>0</v>
      </c>
      <c r="Q93" s="32">
        <f>11.618+I93</f>
        <v>14.658000000000001</v>
      </c>
      <c r="R93" s="202" t="str">
        <f>IF(P93,(P93-Q93)/P93,"NB")</f>
        <v>NB</v>
      </c>
    </row>
    <row r="94" spans="1:18" s="167" customFormat="1" ht="15.75">
      <c r="A94" s="273" t="s">
        <v>593</v>
      </c>
      <c r="B94" s="33" t="s">
        <v>111</v>
      </c>
      <c r="C94" s="178"/>
      <c r="D94" s="101"/>
      <c r="E94" s="101"/>
      <c r="F94" s="199"/>
      <c r="G94" s="199"/>
      <c r="H94" s="314">
        <f>SUM(H95:H96)</f>
        <v>5</v>
      </c>
      <c r="I94" s="168">
        <f>SUM(I95:I96)</f>
        <v>0</v>
      </c>
      <c r="J94" s="199">
        <f t="shared" si="4"/>
        <v>1</v>
      </c>
      <c r="K94" s="101"/>
      <c r="L94" s="101"/>
      <c r="M94" s="101"/>
      <c r="N94" s="198"/>
      <c r="O94" s="198"/>
      <c r="P94" s="134">
        <f t="shared" si="3"/>
        <v>5</v>
      </c>
      <c r="Q94" s="168">
        <f>SUM(Q95:Q96)</f>
        <v>12</v>
      </c>
      <c r="R94" s="168">
        <f>IF(P94,(P94-Q94)/P94,"NB")</f>
        <v>-1.4</v>
      </c>
    </row>
    <row r="95" spans="1:18" ht="30">
      <c r="A95" s="269" t="s">
        <v>594</v>
      </c>
      <c r="B95" s="23" t="s">
        <v>438</v>
      </c>
      <c r="C95" s="34"/>
      <c r="D95" s="107"/>
      <c r="E95" s="107"/>
      <c r="F95" s="196"/>
      <c r="G95" s="196"/>
      <c r="H95" s="324"/>
      <c r="I95" s="107"/>
      <c r="J95" s="196" t="str">
        <f t="shared" si="4"/>
        <v>NB</v>
      </c>
      <c r="K95" s="107"/>
      <c r="L95" s="107"/>
      <c r="M95" s="107"/>
      <c r="N95" s="194"/>
      <c r="O95" s="194"/>
      <c r="P95" s="162">
        <f t="shared" si="3"/>
        <v>0</v>
      </c>
      <c r="Q95" s="107">
        <v>7</v>
      </c>
      <c r="R95" s="202" t="str">
        <f>IF(P95,(P95-Q95)/P95,"NB")</f>
        <v>NB</v>
      </c>
    </row>
    <row r="96" spans="1:18" ht="30">
      <c r="A96" s="269" t="s">
        <v>595</v>
      </c>
      <c r="B96" s="23" t="s">
        <v>439</v>
      </c>
      <c r="C96" s="34"/>
      <c r="D96" s="107"/>
      <c r="E96" s="107"/>
      <c r="F96" s="196"/>
      <c r="G96" s="196"/>
      <c r="H96" s="324">
        <v>5</v>
      </c>
      <c r="I96" s="107"/>
      <c r="J96" s="196">
        <f t="shared" si="4"/>
        <v>1</v>
      </c>
      <c r="K96" s="107"/>
      <c r="L96" s="107"/>
      <c r="M96" s="107"/>
      <c r="N96" s="194"/>
      <c r="O96" s="194"/>
      <c r="P96" s="162">
        <f t="shared" si="3"/>
        <v>5</v>
      </c>
      <c r="Q96" s="107">
        <v>5</v>
      </c>
      <c r="R96" s="202">
        <f>IF(P96,(P96-Q96)/P96,"NB")</f>
        <v>0</v>
      </c>
    </row>
    <row r="97" spans="1:18" s="167" customFormat="1" ht="15.75">
      <c r="A97" s="273" t="s">
        <v>108</v>
      </c>
      <c r="B97" s="11" t="s">
        <v>119</v>
      </c>
      <c r="C97" s="116"/>
      <c r="D97" s="101"/>
      <c r="E97" s="101"/>
      <c r="F97" s="199"/>
      <c r="G97" s="199"/>
      <c r="H97" s="314">
        <f>+H98+H99+H100+H108+H109+H115+H122+H123+H126+H127+H130</f>
        <v>186.52</v>
      </c>
      <c r="I97" s="168">
        <f>+I98+I99+I100+I108+I109+I115+I122+I123+I126+I127+I130</f>
        <v>2.94</v>
      </c>
      <c r="J97" s="199">
        <f t="shared" si="4"/>
        <v>0.98423761526914</v>
      </c>
      <c r="K97" s="101"/>
      <c r="L97" s="101"/>
      <c r="M97" s="101"/>
      <c r="N97" s="198"/>
      <c r="O97" s="198"/>
      <c r="P97" s="134">
        <f t="shared" si="3"/>
        <v>186.52</v>
      </c>
      <c r="Q97" s="168">
        <f>+Q98+Q99+Q100+Q108+Q109+Q115+Q122+Q123+Q126+Q127+Q130</f>
        <v>12.552179999999998</v>
      </c>
      <c r="R97" s="168">
        <f>IF(P97,(P97-Q97)/P97,"NB")</f>
        <v>0.932703302594896</v>
      </c>
    </row>
    <row r="98" spans="1:18" ht="15.75">
      <c r="A98" s="269" t="s">
        <v>109</v>
      </c>
      <c r="B98" s="35" t="s">
        <v>120</v>
      </c>
      <c r="C98" s="21"/>
      <c r="D98" s="107"/>
      <c r="E98" s="107"/>
      <c r="F98" s="196"/>
      <c r="G98" s="196"/>
      <c r="H98" s="324"/>
      <c r="I98" s="107"/>
      <c r="J98" s="196" t="str">
        <f t="shared" si="4"/>
        <v>NB</v>
      </c>
      <c r="K98" s="107"/>
      <c r="L98" s="107"/>
      <c r="M98" s="107"/>
      <c r="N98" s="194"/>
      <c r="O98" s="194"/>
      <c r="P98" s="162">
        <f t="shared" si="3"/>
        <v>0</v>
      </c>
      <c r="Q98" s="107"/>
      <c r="R98" s="202" t="str">
        <f>IF(P98,(P98-Q98)/P98,"NB")</f>
        <v>NB</v>
      </c>
    </row>
    <row r="99" spans="1:18" ht="15.75">
      <c r="A99" s="269" t="s">
        <v>110</v>
      </c>
      <c r="B99" s="35" t="s">
        <v>121</v>
      </c>
      <c r="C99" s="14"/>
      <c r="D99" s="103"/>
      <c r="E99" s="103"/>
      <c r="F99" s="196"/>
      <c r="G99" s="196"/>
      <c r="H99" s="316"/>
      <c r="I99" s="103"/>
      <c r="J99" s="196" t="str">
        <f t="shared" si="4"/>
        <v>NB</v>
      </c>
      <c r="K99" s="103"/>
      <c r="L99" s="103"/>
      <c r="M99" s="103"/>
      <c r="N99" s="194"/>
      <c r="O99" s="194"/>
      <c r="P99" s="162">
        <f t="shared" si="3"/>
        <v>0</v>
      </c>
      <c r="Q99" s="103"/>
      <c r="R99" s="202" t="str">
        <f>IF(P99,(P99-Q99)/P99,"NB")</f>
        <v>NB</v>
      </c>
    </row>
    <row r="100" spans="1:18" s="167" customFormat="1" ht="15.75">
      <c r="A100" s="273" t="s">
        <v>596</v>
      </c>
      <c r="B100" s="11" t="s">
        <v>122</v>
      </c>
      <c r="C100" s="179"/>
      <c r="D100" s="368">
        <v>540</v>
      </c>
      <c r="E100" s="102"/>
      <c r="F100" s="199"/>
      <c r="G100" s="199"/>
      <c r="H100" s="315">
        <f>SUM(H101:H107)</f>
        <v>82.03</v>
      </c>
      <c r="I100" s="171">
        <f>SUM(I101:I107)</f>
        <v>1.05</v>
      </c>
      <c r="J100" s="199">
        <f t="shared" si="4"/>
        <v>0.9871998049494087</v>
      </c>
      <c r="K100" s="179"/>
      <c r="L100" s="368">
        <v>540</v>
      </c>
      <c r="M100" s="102"/>
      <c r="N100" s="198"/>
      <c r="O100" s="198"/>
      <c r="P100" s="134">
        <f t="shared" si="3"/>
        <v>82.03</v>
      </c>
      <c r="Q100" s="171">
        <f>SUM(Q101:Q107)</f>
        <v>5.48707</v>
      </c>
      <c r="R100" s="171">
        <f>IF(P100,(P100-Q100)/P100,"NB")</f>
        <v>0.9331089845178593</v>
      </c>
    </row>
    <row r="101" spans="1:18" ht="15">
      <c r="A101" s="269" t="s">
        <v>597</v>
      </c>
      <c r="B101" s="13" t="s">
        <v>123</v>
      </c>
      <c r="C101" s="14"/>
      <c r="D101" s="103">
        <v>88</v>
      </c>
      <c r="E101" s="14">
        <v>0</v>
      </c>
      <c r="F101" s="196"/>
      <c r="G101" s="196"/>
      <c r="H101" s="316">
        <f>11.18+5.94</f>
        <v>17.12</v>
      </c>
      <c r="I101" s="103"/>
      <c r="J101" s="196">
        <f t="shared" si="4"/>
        <v>1</v>
      </c>
      <c r="K101" s="14"/>
      <c r="L101" s="103">
        <v>88</v>
      </c>
      <c r="M101" s="14">
        <v>0</v>
      </c>
      <c r="N101" s="194"/>
      <c r="O101" s="194"/>
      <c r="P101" s="162">
        <f t="shared" si="3"/>
        <v>17.12</v>
      </c>
      <c r="Q101" s="14"/>
      <c r="R101" s="202">
        <f>IF(P101,(P101-Q101)/P101,"NB")</f>
        <v>1</v>
      </c>
    </row>
    <row r="102" spans="1:18" ht="15">
      <c r="A102" s="269" t="s">
        <v>598</v>
      </c>
      <c r="B102" s="13" t="s">
        <v>124</v>
      </c>
      <c r="C102" s="14"/>
      <c r="D102" s="103">
        <v>10</v>
      </c>
      <c r="E102" s="14">
        <v>0</v>
      </c>
      <c r="F102" s="196"/>
      <c r="G102" s="196"/>
      <c r="H102" s="316"/>
      <c r="I102" s="103"/>
      <c r="J102" s="196" t="str">
        <f t="shared" si="4"/>
        <v>NB</v>
      </c>
      <c r="K102" s="14"/>
      <c r="L102" s="103">
        <v>10</v>
      </c>
      <c r="M102" s="14">
        <v>0</v>
      </c>
      <c r="N102" s="194"/>
      <c r="O102" s="194"/>
      <c r="P102" s="162">
        <f t="shared" si="3"/>
        <v>0</v>
      </c>
      <c r="Q102" s="14">
        <v>2.16791</v>
      </c>
      <c r="R102" s="202" t="str">
        <f>IF(P102,(P102-Q102)/P102,"NB")</f>
        <v>NB</v>
      </c>
    </row>
    <row r="103" spans="1:18" ht="15">
      <c r="A103" s="269" t="s">
        <v>599</v>
      </c>
      <c r="B103" s="13" t="s">
        <v>440</v>
      </c>
      <c r="C103" s="14"/>
      <c r="D103" s="103">
        <v>12</v>
      </c>
      <c r="E103" s="14">
        <v>0</v>
      </c>
      <c r="F103" s="196"/>
      <c r="G103" s="196"/>
      <c r="H103" s="316">
        <v>28.6</v>
      </c>
      <c r="I103" s="103"/>
      <c r="J103" s="196">
        <f t="shared" si="4"/>
        <v>1</v>
      </c>
      <c r="K103" s="14"/>
      <c r="L103" s="103">
        <v>12</v>
      </c>
      <c r="M103" s="14">
        <v>0</v>
      </c>
      <c r="N103" s="194"/>
      <c r="O103" s="194"/>
      <c r="P103" s="162">
        <f t="shared" si="3"/>
        <v>28.6</v>
      </c>
      <c r="Q103" s="14">
        <v>0</v>
      </c>
      <c r="R103" s="202">
        <f>IF(P103,(P103-Q103)/P103,"NB")</f>
        <v>1</v>
      </c>
    </row>
    <row r="104" spans="1:18" ht="15">
      <c r="A104" s="269" t="s">
        <v>600</v>
      </c>
      <c r="B104" s="13" t="s">
        <v>125</v>
      </c>
      <c r="C104" s="14"/>
      <c r="D104" s="103">
        <v>40</v>
      </c>
      <c r="E104" s="14">
        <v>0</v>
      </c>
      <c r="F104" s="196"/>
      <c r="G104" s="196"/>
      <c r="H104" s="316">
        <v>6.6</v>
      </c>
      <c r="I104" s="103"/>
      <c r="J104" s="196">
        <f t="shared" si="4"/>
        <v>1</v>
      </c>
      <c r="K104" s="14"/>
      <c r="L104" s="103">
        <v>40</v>
      </c>
      <c r="M104" s="14">
        <v>0</v>
      </c>
      <c r="N104" s="194"/>
      <c r="O104" s="194"/>
      <c r="P104" s="162">
        <f t="shared" si="3"/>
        <v>6.6</v>
      </c>
      <c r="Q104" s="14">
        <v>0</v>
      </c>
      <c r="R104" s="202">
        <f>IF(P104,(P104-Q104)/P104,"NB")</f>
        <v>1</v>
      </c>
    </row>
    <row r="105" spans="1:18" ht="15">
      <c r="A105" s="269" t="s">
        <v>601</v>
      </c>
      <c r="B105" s="13" t="s">
        <v>126</v>
      </c>
      <c r="C105" s="14"/>
      <c r="D105" s="103" t="s">
        <v>1016</v>
      </c>
      <c r="E105" s="14">
        <v>0</v>
      </c>
      <c r="F105" s="196"/>
      <c r="G105" s="196"/>
      <c r="H105" s="316">
        <f>0.9+1.52+7.47</f>
        <v>9.89</v>
      </c>
      <c r="I105" s="103"/>
      <c r="J105" s="196">
        <f t="shared" si="4"/>
        <v>1</v>
      </c>
      <c r="K105" s="14"/>
      <c r="L105" s="103" t="s">
        <v>1016</v>
      </c>
      <c r="M105" s="14">
        <v>0</v>
      </c>
      <c r="N105" s="194"/>
      <c r="O105" s="194"/>
      <c r="P105" s="162">
        <f t="shared" si="3"/>
        <v>9.89</v>
      </c>
      <c r="Q105" s="14">
        <v>0.8</v>
      </c>
      <c r="R105" s="202">
        <f>IF(P105,(P105-Q105)/P105,"NB")</f>
        <v>0.9191102123356926</v>
      </c>
    </row>
    <row r="106" spans="1:18" ht="15.75">
      <c r="A106" s="269" t="s">
        <v>602</v>
      </c>
      <c r="B106" s="13" t="s">
        <v>479</v>
      </c>
      <c r="C106" s="16"/>
      <c r="D106" s="104">
        <v>24</v>
      </c>
      <c r="E106" s="16">
        <v>0</v>
      </c>
      <c r="F106" s="196"/>
      <c r="G106" s="196"/>
      <c r="H106" s="317">
        <v>4.09</v>
      </c>
      <c r="I106" s="104"/>
      <c r="J106" s="196">
        <f t="shared" si="4"/>
        <v>1</v>
      </c>
      <c r="K106" s="16"/>
      <c r="L106" s="104">
        <v>24</v>
      </c>
      <c r="M106" s="16">
        <v>0</v>
      </c>
      <c r="N106" s="194"/>
      <c r="O106" s="194"/>
      <c r="P106" s="162">
        <f t="shared" si="3"/>
        <v>4.09</v>
      </c>
      <c r="Q106" s="16">
        <v>1.46916</v>
      </c>
      <c r="R106" s="202">
        <f>IF(P106,(P106-Q106)/P106,"NB")</f>
        <v>0.6407921760391198</v>
      </c>
    </row>
    <row r="107" spans="1:18" ht="45">
      <c r="A107" s="269" t="s">
        <v>603</v>
      </c>
      <c r="B107" s="13" t="s">
        <v>480</v>
      </c>
      <c r="C107" s="14"/>
      <c r="D107" s="103" t="s">
        <v>1017</v>
      </c>
      <c r="E107" s="14">
        <v>55</v>
      </c>
      <c r="F107" s="196"/>
      <c r="G107" s="196"/>
      <c r="H107" s="316">
        <f>3.73+0.5+2.75+2.75+6</f>
        <v>15.73</v>
      </c>
      <c r="I107" s="103">
        <v>1.05</v>
      </c>
      <c r="J107" s="196">
        <f t="shared" si="4"/>
        <v>0.9332485696122059</v>
      </c>
      <c r="K107" s="14"/>
      <c r="L107" s="103" t="s">
        <v>1017</v>
      </c>
      <c r="M107" s="14">
        <v>0</v>
      </c>
      <c r="N107" s="194"/>
      <c r="O107" s="194"/>
      <c r="P107" s="162">
        <f t="shared" si="3"/>
        <v>15.73</v>
      </c>
      <c r="Q107" s="14">
        <f>I107</f>
        <v>1.05</v>
      </c>
      <c r="R107" s="202">
        <f>IF(P107,(P107-Q107)/P107,"NB")</f>
        <v>0.9332485696122059</v>
      </c>
    </row>
    <row r="108" spans="1:18" s="176" customFormat="1" ht="15.75">
      <c r="A108" s="273" t="s">
        <v>604</v>
      </c>
      <c r="B108" s="180" t="s">
        <v>422</v>
      </c>
      <c r="C108" s="181"/>
      <c r="D108" s="181">
        <v>90</v>
      </c>
      <c r="E108" s="181"/>
      <c r="F108" s="199"/>
      <c r="G108" s="199"/>
      <c r="H108" s="330">
        <v>0.96</v>
      </c>
      <c r="I108" s="172"/>
      <c r="J108" s="199">
        <f t="shared" si="4"/>
        <v>1</v>
      </c>
      <c r="K108" s="181"/>
      <c r="L108" s="181">
        <v>90</v>
      </c>
      <c r="M108" s="181"/>
      <c r="N108" s="198"/>
      <c r="O108" s="198"/>
      <c r="P108" s="182">
        <f t="shared" si="3"/>
        <v>0.96</v>
      </c>
      <c r="Q108" s="181"/>
      <c r="R108" s="172">
        <f>IF(P108,(P108-Q108)/P108,"NB")</f>
        <v>1</v>
      </c>
    </row>
    <row r="109" spans="1:18" s="176" customFormat="1" ht="15.75">
      <c r="A109" s="273" t="s">
        <v>605</v>
      </c>
      <c r="B109" s="12" t="s">
        <v>127</v>
      </c>
      <c r="C109" s="179"/>
      <c r="D109" s="102"/>
      <c r="E109" s="102"/>
      <c r="F109" s="199"/>
      <c r="G109" s="199"/>
      <c r="H109" s="315">
        <f>SUM(H110:H114)</f>
        <v>3.81</v>
      </c>
      <c r="I109" s="171">
        <f>SUM(I110:I114)</f>
        <v>0</v>
      </c>
      <c r="J109" s="199">
        <f t="shared" si="4"/>
        <v>1</v>
      </c>
      <c r="K109" s="102"/>
      <c r="L109" s="102"/>
      <c r="M109" s="102"/>
      <c r="N109" s="198"/>
      <c r="O109" s="198"/>
      <c r="P109" s="134">
        <f t="shared" si="3"/>
        <v>3.81</v>
      </c>
      <c r="Q109" s="171">
        <f>SUM(Q110:Q114)</f>
        <v>0</v>
      </c>
      <c r="R109" s="171">
        <f>IF(P109,(P109-Q109)/P109,"NB")</f>
        <v>1</v>
      </c>
    </row>
    <row r="110" spans="1:18" ht="15">
      <c r="A110" s="269" t="s">
        <v>606</v>
      </c>
      <c r="B110" s="13" t="s">
        <v>128</v>
      </c>
      <c r="C110" s="14"/>
      <c r="D110" s="103"/>
      <c r="E110" s="103"/>
      <c r="F110" s="196"/>
      <c r="G110" s="196"/>
      <c r="H110" s="316"/>
      <c r="I110" s="103"/>
      <c r="J110" s="196" t="str">
        <f t="shared" si="4"/>
        <v>NB</v>
      </c>
      <c r="K110" s="103"/>
      <c r="L110" s="103"/>
      <c r="M110" s="103"/>
      <c r="N110" s="194"/>
      <c r="O110" s="194"/>
      <c r="P110" s="162">
        <f t="shared" si="3"/>
        <v>0</v>
      </c>
      <c r="Q110" s="103"/>
      <c r="R110" s="202" t="str">
        <f>IF(P110,(P110-Q110)/P110,"NB")</f>
        <v>NB</v>
      </c>
    </row>
    <row r="111" spans="1:18" ht="15">
      <c r="A111" s="269" t="s">
        <v>607</v>
      </c>
      <c r="B111" s="13" t="s">
        <v>775</v>
      </c>
      <c r="C111" s="14"/>
      <c r="D111" s="103"/>
      <c r="E111" s="103"/>
      <c r="F111" s="196"/>
      <c r="G111" s="196"/>
      <c r="H111" s="316"/>
      <c r="I111" s="103"/>
      <c r="J111" s="196" t="str">
        <f t="shared" si="4"/>
        <v>NB</v>
      </c>
      <c r="K111" s="103"/>
      <c r="L111" s="103"/>
      <c r="M111" s="103"/>
      <c r="N111" s="194"/>
      <c r="O111" s="194"/>
      <c r="P111" s="162">
        <f t="shared" si="3"/>
        <v>0</v>
      </c>
      <c r="Q111" s="103"/>
      <c r="R111" s="202" t="str">
        <f>IF(P111,(P111-Q111)/P111,"NB")</f>
        <v>NB</v>
      </c>
    </row>
    <row r="112" spans="1:18" ht="15">
      <c r="A112" s="269" t="s">
        <v>608</v>
      </c>
      <c r="B112" s="13" t="s">
        <v>129</v>
      </c>
      <c r="C112" s="14"/>
      <c r="D112" s="103"/>
      <c r="E112" s="103"/>
      <c r="F112" s="196"/>
      <c r="G112" s="196"/>
      <c r="H112" s="316"/>
      <c r="I112" s="103"/>
      <c r="J112" s="196" t="str">
        <f t="shared" si="4"/>
        <v>NB</v>
      </c>
      <c r="K112" s="103"/>
      <c r="L112" s="103"/>
      <c r="M112" s="103"/>
      <c r="N112" s="194"/>
      <c r="O112" s="194"/>
      <c r="P112" s="162">
        <f t="shared" si="3"/>
        <v>0</v>
      </c>
      <c r="Q112" s="103"/>
      <c r="R112" s="202" t="str">
        <f>IF(P112,(P112-Q112)/P112,"NB")</f>
        <v>NB</v>
      </c>
    </row>
    <row r="113" spans="1:18" ht="30">
      <c r="A113" s="269" t="s">
        <v>609</v>
      </c>
      <c r="B113" s="13" t="s">
        <v>130</v>
      </c>
      <c r="C113" s="14"/>
      <c r="D113" s="103"/>
      <c r="E113" s="103"/>
      <c r="F113" s="196"/>
      <c r="G113" s="196"/>
      <c r="H113" s="316"/>
      <c r="I113" s="103"/>
      <c r="J113" s="196" t="str">
        <f t="shared" si="4"/>
        <v>NB</v>
      </c>
      <c r="K113" s="103"/>
      <c r="L113" s="103"/>
      <c r="M113" s="103"/>
      <c r="N113" s="194"/>
      <c r="O113" s="194"/>
      <c r="P113" s="162">
        <f t="shared" si="3"/>
        <v>0</v>
      </c>
      <c r="Q113" s="103"/>
      <c r="R113" s="202" t="str">
        <f>IF(P113,(P113-Q113)/P113,"NB")</f>
        <v>NB</v>
      </c>
    </row>
    <row r="114" spans="1:18" ht="15">
      <c r="A114" s="269" t="s">
        <v>610</v>
      </c>
      <c r="B114" s="13" t="s">
        <v>131</v>
      </c>
      <c r="C114" s="14"/>
      <c r="D114" s="103" t="s">
        <v>1018</v>
      </c>
      <c r="E114" s="103"/>
      <c r="F114" s="196"/>
      <c r="G114" s="196"/>
      <c r="H114" s="316">
        <f>2.18+1.63</f>
        <v>3.81</v>
      </c>
      <c r="I114" s="103"/>
      <c r="J114" s="196">
        <f t="shared" si="4"/>
        <v>1</v>
      </c>
      <c r="K114" s="103"/>
      <c r="L114" s="103" t="s">
        <v>1018</v>
      </c>
      <c r="M114" s="103"/>
      <c r="N114" s="194"/>
      <c r="O114" s="194"/>
      <c r="P114" s="162">
        <f t="shared" si="3"/>
        <v>3.81</v>
      </c>
      <c r="Q114" s="103"/>
      <c r="R114" s="202">
        <f>IF(P114,(P114-Q114)/P114,"NB")</f>
        <v>1</v>
      </c>
    </row>
    <row r="115" spans="1:18" s="167" customFormat="1" ht="15.75">
      <c r="A115" s="273" t="s">
        <v>611</v>
      </c>
      <c r="B115" s="12" t="s">
        <v>132</v>
      </c>
      <c r="C115" s="179"/>
      <c r="D115" s="102"/>
      <c r="E115" s="102"/>
      <c r="F115" s="199"/>
      <c r="G115" s="199"/>
      <c r="H115" s="315">
        <f>SUM(H116:H121)</f>
        <v>30.1</v>
      </c>
      <c r="I115" s="171">
        <f>SUM(I116:I121)</f>
        <v>1.89</v>
      </c>
      <c r="J115" s="199">
        <f aca="true" t="shared" si="5" ref="J115:J147">IF(H115,(H115-I115)/H115,"NB")</f>
        <v>0.9372093023255814</v>
      </c>
      <c r="K115" s="102"/>
      <c r="L115" s="102"/>
      <c r="M115" s="102"/>
      <c r="N115" s="198"/>
      <c r="O115" s="198"/>
      <c r="P115" s="134">
        <f t="shared" si="3"/>
        <v>30.1</v>
      </c>
      <c r="Q115" s="171">
        <f>SUM(Q116:Q121)</f>
        <v>5.443999999999999</v>
      </c>
      <c r="R115" s="171">
        <f>IF(P115,(P115-Q115)/P115,"NB")</f>
        <v>0.8191362126245848</v>
      </c>
    </row>
    <row r="116" spans="1:18" ht="15">
      <c r="A116" s="269" t="s">
        <v>612</v>
      </c>
      <c r="B116" s="13" t="s">
        <v>133</v>
      </c>
      <c r="C116" s="14"/>
      <c r="D116" s="14"/>
      <c r="E116" s="14"/>
      <c r="F116" s="196"/>
      <c r="G116" s="196"/>
      <c r="H116" s="316"/>
      <c r="I116" s="103"/>
      <c r="J116" s="196" t="str">
        <f t="shared" si="5"/>
        <v>NB</v>
      </c>
      <c r="K116" s="14"/>
      <c r="L116" s="14"/>
      <c r="M116" s="14"/>
      <c r="N116" s="194"/>
      <c r="O116" s="194"/>
      <c r="P116" s="162">
        <f t="shared" si="3"/>
        <v>0</v>
      </c>
      <c r="Q116" s="14"/>
      <c r="R116" s="103" t="str">
        <f>IF(P116,(P116-Q116)/P116,"NB")</f>
        <v>NB</v>
      </c>
    </row>
    <row r="117" spans="1:18" ht="15">
      <c r="A117" s="269" t="s">
        <v>613</v>
      </c>
      <c r="B117" s="13" t="s">
        <v>441</v>
      </c>
      <c r="C117" s="21"/>
      <c r="D117" s="21"/>
      <c r="E117" s="21"/>
      <c r="F117" s="196"/>
      <c r="G117" s="196"/>
      <c r="H117" s="324"/>
      <c r="I117" s="107"/>
      <c r="J117" s="196" t="str">
        <f t="shared" si="5"/>
        <v>NB</v>
      </c>
      <c r="K117" s="21"/>
      <c r="L117" s="21"/>
      <c r="M117" s="21"/>
      <c r="N117" s="194"/>
      <c r="O117" s="194"/>
      <c r="P117" s="162">
        <f t="shared" si="3"/>
        <v>0</v>
      </c>
      <c r="Q117" s="21"/>
      <c r="R117" s="107" t="str">
        <f>IF(P117,(P117-Q117)/P117,"NB")</f>
        <v>NB</v>
      </c>
    </row>
    <row r="118" spans="1:18" ht="45">
      <c r="A118" s="269" t="s">
        <v>614</v>
      </c>
      <c r="B118" s="13" t="s">
        <v>134</v>
      </c>
      <c r="C118" s="21" t="s">
        <v>1019</v>
      </c>
      <c r="D118" s="21" t="s">
        <v>1020</v>
      </c>
      <c r="E118" s="21"/>
      <c r="F118" s="196"/>
      <c r="G118" s="196"/>
      <c r="H118" s="324">
        <v>0.64</v>
      </c>
      <c r="I118" s="107"/>
      <c r="J118" s="196">
        <f t="shared" si="5"/>
        <v>1</v>
      </c>
      <c r="K118" s="21" t="s">
        <v>1019</v>
      </c>
      <c r="L118" s="21" t="s">
        <v>1020</v>
      </c>
      <c r="M118" s="21"/>
      <c r="N118" s="194"/>
      <c r="O118" s="194"/>
      <c r="P118" s="162">
        <f t="shared" si="3"/>
        <v>0.64</v>
      </c>
      <c r="Q118" s="21">
        <v>0.26</v>
      </c>
      <c r="R118" s="107">
        <f>IF(P118,(P118-Q118)/P118,"NB")</f>
        <v>0.59375</v>
      </c>
    </row>
    <row r="119" spans="1:18" ht="45">
      <c r="A119" s="269" t="s">
        <v>615</v>
      </c>
      <c r="B119" s="23" t="s">
        <v>135</v>
      </c>
      <c r="C119" s="21"/>
      <c r="D119" s="21" t="s">
        <v>1021</v>
      </c>
      <c r="E119" s="21">
        <v>18</v>
      </c>
      <c r="F119" s="196"/>
      <c r="G119" s="196"/>
      <c r="H119" s="324">
        <f>0.2+7.41+19.8</f>
        <v>27.41</v>
      </c>
      <c r="I119" s="107">
        <v>1.89</v>
      </c>
      <c r="J119" s="196">
        <f t="shared" si="5"/>
        <v>0.9310470631156512</v>
      </c>
      <c r="K119" s="21"/>
      <c r="L119" s="21" t="s">
        <v>1021</v>
      </c>
      <c r="M119" s="21">
        <v>18</v>
      </c>
      <c r="N119" s="194"/>
      <c r="O119" s="194"/>
      <c r="P119" s="162">
        <f t="shared" si="3"/>
        <v>27.41</v>
      </c>
      <c r="Q119" s="21">
        <f>2.604+I119</f>
        <v>4.494</v>
      </c>
      <c r="R119" s="107">
        <f>IF(P119,(P119-Q119)/P119,"NB")</f>
        <v>0.8360452389638818</v>
      </c>
    </row>
    <row r="120" spans="1:18" ht="15">
      <c r="A120" s="269" t="s">
        <v>616</v>
      </c>
      <c r="B120" s="23" t="s">
        <v>136</v>
      </c>
      <c r="C120" s="14"/>
      <c r="D120" s="14"/>
      <c r="E120" s="14"/>
      <c r="F120" s="196"/>
      <c r="G120" s="196"/>
      <c r="H120" s="316"/>
      <c r="I120" s="103"/>
      <c r="J120" s="196" t="str">
        <f t="shared" si="5"/>
        <v>NB</v>
      </c>
      <c r="K120" s="14"/>
      <c r="L120" s="14"/>
      <c r="M120" s="14"/>
      <c r="N120" s="194"/>
      <c r="O120" s="194"/>
      <c r="P120" s="162">
        <f aca="true" t="shared" si="6" ref="P120:P184">H120</f>
        <v>0</v>
      </c>
      <c r="Q120" s="14"/>
      <c r="R120" s="103" t="str">
        <f>IF(P120,(P120-Q120)/P120,"NB")</f>
        <v>NB</v>
      </c>
    </row>
    <row r="121" spans="1:18" ht="15">
      <c r="A121" s="269" t="s">
        <v>617</v>
      </c>
      <c r="B121" s="23" t="s">
        <v>137</v>
      </c>
      <c r="C121" s="14"/>
      <c r="D121" s="14" t="s">
        <v>1022</v>
      </c>
      <c r="E121" s="14"/>
      <c r="F121" s="196"/>
      <c r="G121" s="196"/>
      <c r="H121" s="316">
        <f>0.2+0.25+1.6</f>
        <v>2.0500000000000003</v>
      </c>
      <c r="I121" s="103"/>
      <c r="J121" s="196">
        <f t="shared" si="5"/>
        <v>1</v>
      </c>
      <c r="K121" s="14"/>
      <c r="L121" s="14" t="s">
        <v>1022</v>
      </c>
      <c r="M121" s="14"/>
      <c r="N121" s="194"/>
      <c r="O121" s="194"/>
      <c r="P121" s="162">
        <f t="shared" si="6"/>
        <v>2.0500000000000003</v>
      </c>
      <c r="Q121" s="14">
        <v>0.69</v>
      </c>
      <c r="R121" s="103">
        <f>IF(P121,(P121-Q121)/P121,"NB")</f>
        <v>0.6634146341463415</v>
      </c>
    </row>
    <row r="122" spans="1:18" s="170" customFormat="1" ht="189">
      <c r="A122" s="273" t="s">
        <v>618</v>
      </c>
      <c r="B122" s="12" t="s">
        <v>138</v>
      </c>
      <c r="C122" s="12"/>
      <c r="D122" s="12" t="s">
        <v>1023</v>
      </c>
      <c r="E122" s="12"/>
      <c r="F122" s="199"/>
      <c r="G122" s="199"/>
      <c r="H122" s="331">
        <f>45.31+2.84+4.55+2.28</f>
        <v>54.980000000000004</v>
      </c>
      <c r="I122" s="134"/>
      <c r="J122" s="199">
        <f t="shared" si="5"/>
        <v>1</v>
      </c>
      <c r="K122" s="12"/>
      <c r="L122" s="12" t="s">
        <v>1023</v>
      </c>
      <c r="M122" s="12"/>
      <c r="N122" s="198"/>
      <c r="O122" s="198"/>
      <c r="P122" s="134">
        <f t="shared" si="6"/>
        <v>54.980000000000004</v>
      </c>
      <c r="Q122" s="12"/>
      <c r="R122" s="309">
        <f>IF(P122,(P122-Q122)/P122,"NB")</f>
        <v>1</v>
      </c>
    </row>
    <row r="123" spans="1:18" s="167" customFormat="1" ht="15.75">
      <c r="A123" s="273" t="s">
        <v>619</v>
      </c>
      <c r="B123" s="12" t="s">
        <v>139</v>
      </c>
      <c r="C123" s="116"/>
      <c r="D123" s="101"/>
      <c r="E123" s="101"/>
      <c r="F123" s="199"/>
      <c r="G123" s="199"/>
      <c r="H123" s="315">
        <f>SUM(H124:H125)</f>
        <v>13.899999999999999</v>
      </c>
      <c r="I123" s="171">
        <f>SUM(I124:I125)</f>
        <v>0</v>
      </c>
      <c r="J123" s="199">
        <f t="shared" si="5"/>
        <v>1</v>
      </c>
      <c r="K123" s="101"/>
      <c r="L123" s="102"/>
      <c r="M123" s="102"/>
      <c r="N123" s="198"/>
      <c r="O123" s="198"/>
      <c r="P123" s="134">
        <f t="shared" si="6"/>
        <v>13.899999999999999</v>
      </c>
      <c r="Q123" s="171">
        <f>SUM(Q124:Q125)</f>
        <v>0.20724</v>
      </c>
      <c r="R123" s="171">
        <f>IF(P123,(P123-Q123)/P123,"NB")</f>
        <v>0.9850906474820144</v>
      </c>
    </row>
    <row r="124" spans="1:18" ht="15">
      <c r="A124" s="269" t="s">
        <v>620</v>
      </c>
      <c r="B124" s="23" t="s">
        <v>140</v>
      </c>
      <c r="C124" s="21"/>
      <c r="D124" s="107"/>
      <c r="E124" s="107"/>
      <c r="F124" s="196"/>
      <c r="G124" s="196"/>
      <c r="H124" s="324">
        <f>5+5+0.64+0.93+1.04</f>
        <v>12.61</v>
      </c>
      <c r="I124" s="107"/>
      <c r="J124" s="201">
        <f t="shared" si="5"/>
        <v>1</v>
      </c>
      <c r="K124" s="107"/>
      <c r="L124" s="107"/>
      <c r="M124" s="107"/>
      <c r="N124" s="194"/>
      <c r="O124" s="194"/>
      <c r="P124" s="162">
        <f t="shared" si="6"/>
        <v>12.61</v>
      </c>
      <c r="Q124" s="107"/>
      <c r="R124" s="107">
        <f>IF(P124,(P124-Q124)/P124,"NB")</f>
        <v>1</v>
      </c>
    </row>
    <row r="125" spans="1:18" ht="15.75">
      <c r="A125" s="269" t="s">
        <v>621</v>
      </c>
      <c r="B125" s="23" t="s">
        <v>141</v>
      </c>
      <c r="C125" s="1"/>
      <c r="D125" s="108"/>
      <c r="E125" s="108">
        <v>2</v>
      </c>
      <c r="F125" s="196"/>
      <c r="G125" s="196"/>
      <c r="H125" s="323">
        <v>1.29</v>
      </c>
      <c r="I125" s="108"/>
      <c r="J125" s="196">
        <f t="shared" si="5"/>
        <v>1</v>
      </c>
      <c r="K125" s="108"/>
      <c r="L125" s="108"/>
      <c r="M125" s="108">
        <v>2</v>
      </c>
      <c r="N125" s="194"/>
      <c r="O125" s="194"/>
      <c r="P125" s="162">
        <f t="shared" si="6"/>
        <v>1.29</v>
      </c>
      <c r="Q125" s="108">
        <v>0.20724</v>
      </c>
      <c r="R125" s="108">
        <f>IF(P125,(P125-Q125)/P125,"NB")</f>
        <v>0.8393488372093023</v>
      </c>
    </row>
    <row r="126" spans="1:18" s="167" customFormat="1" ht="15.75">
      <c r="A126" s="273" t="s">
        <v>622</v>
      </c>
      <c r="B126" s="38" t="s">
        <v>546</v>
      </c>
      <c r="C126" s="116"/>
      <c r="D126" s="101"/>
      <c r="E126" s="101"/>
      <c r="F126" s="199"/>
      <c r="G126" s="199"/>
      <c r="H126" s="314"/>
      <c r="I126" s="101"/>
      <c r="J126" s="199" t="str">
        <f t="shared" si="5"/>
        <v>NB</v>
      </c>
      <c r="K126" s="101"/>
      <c r="L126" s="101"/>
      <c r="M126" s="101"/>
      <c r="N126" s="198"/>
      <c r="O126" s="198"/>
      <c r="P126" s="134">
        <f t="shared" si="6"/>
        <v>0</v>
      </c>
      <c r="Q126" s="101"/>
      <c r="R126" s="101" t="str">
        <f>IF(P126,(P126-Q126)/P126,"NB")</f>
        <v>NB</v>
      </c>
    </row>
    <row r="127" spans="1:18" s="167" customFormat="1" ht="15.75">
      <c r="A127" s="273" t="s">
        <v>623</v>
      </c>
      <c r="B127" s="38" t="s">
        <v>442</v>
      </c>
      <c r="C127" s="183"/>
      <c r="D127" s="101"/>
      <c r="E127" s="101"/>
      <c r="F127" s="199"/>
      <c r="G127" s="199"/>
      <c r="H127" s="314">
        <f>SUM(H128:H129)</f>
        <v>0</v>
      </c>
      <c r="I127" s="168">
        <f>SUM(I128:I129)</f>
        <v>0</v>
      </c>
      <c r="J127" s="199" t="str">
        <f t="shared" si="5"/>
        <v>NB</v>
      </c>
      <c r="K127" s="72"/>
      <c r="L127" s="101"/>
      <c r="M127" s="101"/>
      <c r="N127" s="198"/>
      <c r="O127" s="198"/>
      <c r="P127" s="134">
        <f t="shared" si="6"/>
        <v>0</v>
      </c>
      <c r="Q127" s="168">
        <f>SUM(Q128:Q129)</f>
        <v>0</v>
      </c>
      <c r="R127" s="168" t="str">
        <f>IF(P127,(P127-Q127)/P127,"NB")</f>
        <v>NB</v>
      </c>
    </row>
    <row r="128" spans="1:18" ht="30">
      <c r="A128" s="249" t="s">
        <v>624</v>
      </c>
      <c r="B128" s="39" t="s">
        <v>463</v>
      </c>
      <c r="C128" s="32"/>
      <c r="D128" s="110"/>
      <c r="E128" s="110"/>
      <c r="F128" s="196"/>
      <c r="G128" s="196"/>
      <c r="H128" s="329"/>
      <c r="I128" s="110"/>
      <c r="J128" s="196" t="str">
        <f t="shared" si="5"/>
        <v>NB</v>
      </c>
      <c r="K128" s="110"/>
      <c r="L128" s="110"/>
      <c r="M128" s="110"/>
      <c r="N128" s="194"/>
      <c r="O128" s="194"/>
      <c r="P128" s="162">
        <f t="shared" si="6"/>
        <v>0</v>
      </c>
      <c r="Q128" s="110"/>
      <c r="R128" s="110" t="str">
        <f>IF(P128,(P128-Q128)/P128,"NB")</f>
        <v>NB</v>
      </c>
    </row>
    <row r="129" spans="1:18" ht="30">
      <c r="A129" s="249" t="s">
        <v>625</v>
      </c>
      <c r="B129" s="39" t="s">
        <v>464</v>
      </c>
      <c r="C129" s="32"/>
      <c r="D129" s="110"/>
      <c r="E129" s="110"/>
      <c r="F129" s="196"/>
      <c r="G129" s="196"/>
      <c r="H129" s="329"/>
      <c r="I129" s="110"/>
      <c r="J129" s="196" t="str">
        <f t="shared" si="5"/>
        <v>NB</v>
      </c>
      <c r="K129" s="110"/>
      <c r="L129" s="110"/>
      <c r="M129" s="110"/>
      <c r="N129" s="194"/>
      <c r="O129" s="194"/>
      <c r="P129" s="162">
        <f t="shared" si="6"/>
        <v>0</v>
      </c>
      <c r="Q129" s="110"/>
      <c r="R129" s="110" t="str">
        <f>IF(P129,(P129-Q129)/P129,"NB")</f>
        <v>NB</v>
      </c>
    </row>
    <row r="130" spans="1:18" s="170" customFormat="1" ht="15.75">
      <c r="A130" s="273" t="s">
        <v>626</v>
      </c>
      <c r="B130" s="38" t="s">
        <v>443</v>
      </c>
      <c r="C130" s="183"/>
      <c r="D130" s="101"/>
      <c r="E130" s="101"/>
      <c r="F130" s="199"/>
      <c r="G130" s="199"/>
      <c r="H130" s="314">
        <f>SUM(H131:H133)</f>
        <v>0.74</v>
      </c>
      <c r="I130" s="168">
        <f>SUM(I131:I133)</f>
        <v>0</v>
      </c>
      <c r="J130" s="199">
        <f t="shared" si="5"/>
        <v>1</v>
      </c>
      <c r="K130" s="72"/>
      <c r="L130" s="101"/>
      <c r="M130" s="101"/>
      <c r="N130" s="198"/>
      <c r="O130" s="198"/>
      <c r="P130" s="134">
        <f t="shared" si="6"/>
        <v>0.74</v>
      </c>
      <c r="Q130" s="168">
        <f>SUM(Q131:Q133)</f>
        <v>1.41387</v>
      </c>
      <c r="R130" s="168">
        <f>IF(P130,(P130-Q130)/P130,"NB")</f>
        <v>-0.910635135135135</v>
      </c>
    </row>
    <row r="131" spans="1:18" s="8" customFormat="1" ht="30">
      <c r="A131" s="274" t="s">
        <v>627</v>
      </c>
      <c r="B131" s="40" t="s">
        <v>444</v>
      </c>
      <c r="C131" s="32"/>
      <c r="D131" s="32"/>
      <c r="E131" s="32"/>
      <c r="F131" s="196"/>
      <c r="G131" s="196"/>
      <c r="H131" s="329"/>
      <c r="I131" s="106"/>
      <c r="J131" s="196" t="str">
        <f t="shared" si="5"/>
        <v>NB</v>
      </c>
      <c r="K131" s="32"/>
      <c r="L131" s="32"/>
      <c r="M131" s="32"/>
      <c r="N131" s="194"/>
      <c r="O131" s="194"/>
      <c r="P131" s="162">
        <f t="shared" si="6"/>
        <v>0</v>
      </c>
      <c r="Q131" s="32"/>
      <c r="R131" s="110" t="str">
        <f>IF(P131,(P131-Q131)/P131,"NB")</f>
        <v>NB</v>
      </c>
    </row>
    <row r="132" spans="1:18" s="8" customFormat="1" ht="30">
      <c r="A132" s="274" t="s">
        <v>628</v>
      </c>
      <c r="B132" s="40" t="s">
        <v>377</v>
      </c>
      <c r="C132" s="32"/>
      <c r="D132" s="32"/>
      <c r="E132" s="32"/>
      <c r="F132" s="196"/>
      <c r="G132" s="196"/>
      <c r="H132" s="329">
        <v>0.74</v>
      </c>
      <c r="I132" s="110"/>
      <c r="J132" s="196">
        <f t="shared" si="5"/>
        <v>1</v>
      </c>
      <c r="K132" s="32"/>
      <c r="L132" s="32"/>
      <c r="M132" s="32"/>
      <c r="N132" s="194"/>
      <c r="O132" s="194"/>
      <c r="P132" s="162">
        <f t="shared" si="6"/>
        <v>0.74</v>
      </c>
      <c r="Q132" s="32">
        <v>0.74</v>
      </c>
      <c r="R132" s="110">
        <f>IF(P132,(P132-Q132)/P132,"NB")</f>
        <v>0</v>
      </c>
    </row>
    <row r="133" spans="1:18" s="8" customFormat="1" ht="30">
      <c r="A133" s="274" t="s">
        <v>629</v>
      </c>
      <c r="B133" s="40" t="s">
        <v>226</v>
      </c>
      <c r="C133" s="32"/>
      <c r="D133" s="32"/>
      <c r="E133" s="32"/>
      <c r="F133" s="196"/>
      <c r="G133" s="196"/>
      <c r="H133" s="329"/>
      <c r="I133" s="110"/>
      <c r="J133" s="196" t="str">
        <f t="shared" si="5"/>
        <v>NB</v>
      </c>
      <c r="K133" s="32"/>
      <c r="L133" s="32"/>
      <c r="M133" s="32"/>
      <c r="N133" s="194"/>
      <c r="O133" s="194"/>
      <c r="P133" s="162">
        <f t="shared" si="6"/>
        <v>0</v>
      </c>
      <c r="Q133" s="32">
        <v>0.67387</v>
      </c>
      <c r="R133" s="110" t="str">
        <f>IF(P133,(P133-Q133)/P133,"NB")</f>
        <v>NB</v>
      </c>
    </row>
    <row r="134" spans="1:18" s="165" customFormat="1" ht="31.5">
      <c r="A134" s="273" t="s">
        <v>112</v>
      </c>
      <c r="B134" s="11" t="s">
        <v>755</v>
      </c>
      <c r="C134" s="26"/>
      <c r="D134" s="101"/>
      <c r="E134" s="101">
        <f>SUM(E135:E141)</f>
        <v>50</v>
      </c>
      <c r="F134" s="220"/>
      <c r="G134" s="220"/>
      <c r="H134" s="314">
        <f>SUM(H135:H141)</f>
        <v>655.0699999999999</v>
      </c>
      <c r="I134" s="168">
        <f>SUM(I135:I141)</f>
        <v>30.118150000000004</v>
      </c>
      <c r="J134" s="220">
        <f t="shared" si="5"/>
        <v>0.9540230051750195</v>
      </c>
      <c r="K134" s="101"/>
      <c r="L134" s="101"/>
      <c r="M134" s="101"/>
      <c r="N134" s="221"/>
      <c r="O134" s="221"/>
      <c r="P134" s="134">
        <f t="shared" si="6"/>
        <v>655.0699999999999</v>
      </c>
      <c r="Q134" s="168">
        <f>SUM(Q135:Q141)</f>
        <v>238.97272999999998</v>
      </c>
      <c r="R134" s="101">
        <f>IF(P134,(P134-Q134)/P134,"NB")</f>
        <v>0.6351951241852016</v>
      </c>
    </row>
    <row r="135" spans="1:18" ht="33.75" customHeight="1">
      <c r="A135" s="269" t="s">
        <v>113</v>
      </c>
      <c r="B135" s="20" t="s">
        <v>311</v>
      </c>
      <c r="C135" s="21"/>
      <c r="D135" s="107"/>
      <c r="E135" s="107"/>
      <c r="F135" s="196"/>
      <c r="G135" s="196"/>
      <c r="H135" s="324">
        <v>135.53</v>
      </c>
      <c r="I135" s="107">
        <v>2.99329</v>
      </c>
      <c r="J135" s="196">
        <f t="shared" si="5"/>
        <v>0.9779141887405003</v>
      </c>
      <c r="K135" s="107"/>
      <c r="L135" s="107"/>
      <c r="M135" s="107"/>
      <c r="N135" s="194"/>
      <c r="O135" s="194"/>
      <c r="P135" s="162">
        <f t="shared" si="6"/>
        <v>135.53</v>
      </c>
      <c r="Q135" s="107">
        <f>37.82122+I135</f>
        <v>40.81451</v>
      </c>
      <c r="R135" s="107">
        <f>IF(P135,(P135-Q135)/P135,"NB")</f>
        <v>0.6988525787648491</v>
      </c>
    </row>
    <row r="136" spans="1:18" ht="45">
      <c r="A136" s="269" t="s">
        <v>114</v>
      </c>
      <c r="B136" s="20" t="s">
        <v>445</v>
      </c>
      <c r="C136" s="21"/>
      <c r="D136" s="107"/>
      <c r="E136" s="107">
        <v>7</v>
      </c>
      <c r="F136" s="196"/>
      <c r="G136" s="196"/>
      <c r="H136" s="324">
        <v>143.1</v>
      </c>
      <c r="I136" s="107">
        <v>11.17524</v>
      </c>
      <c r="J136" s="196">
        <f t="shared" si="5"/>
        <v>0.9219060796645702</v>
      </c>
      <c r="K136" s="107"/>
      <c r="L136" s="107"/>
      <c r="M136" s="107">
        <v>7</v>
      </c>
      <c r="N136" s="194"/>
      <c r="O136" s="194"/>
      <c r="P136" s="162">
        <f t="shared" si="6"/>
        <v>143.1</v>
      </c>
      <c r="Q136" s="107">
        <f>43.76684+I136</f>
        <v>54.942080000000004</v>
      </c>
      <c r="R136" s="107">
        <f>IF(P136,(P136-Q136)/P136,"NB")</f>
        <v>0.6160581411600279</v>
      </c>
    </row>
    <row r="137" spans="1:18" ht="31.5" customHeight="1">
      <c r="A137" s="269" t="s">
        <v>116</v>
      </c>
      <c r="B137" s="20" t="s">
        <v>446</v>
      </c>
      <c r="C137" s="21"/>
      <c r="D137" s="107"/>
      <c r="E137" s="107">
        <v>32</v>
      </c>
      <c r="F137" s="196"/>
      <c r="G137" s="196"/>
      <c r="H137" s="324">
        <v>360.44</v>
      </c>
      <c r="I137" s="107">
        <v>14.88462</v>
      </c>
      <c r="J137" s="196">
        <f t="shared" si="5"/>
        <v>0.9587043058484076</v>
      </c>
      <c r="K137" s="107"/>
      <c r="L137" s="107"/>
      <c r="M137" s="107">
        <v>32</v>
      </c>
      <c r="N137" s="194"/>
      <c r="O137" s="194"/>
      <c r="P137" s="162">
        <f t="shared" si="6"/>
        <v>360.44</v>
      </c>
      <c r="Q137" s="107">
        <f>110.89864+I137</f>
        <v>125.78326</v>
      </c>
      <c r="R137" s="107">
        <f>IF(P137,(P137-Q137)/P137,"NB")</f>
        <v>0.6510285761846633</v>
      </c>
    </row>
    <row r="138" spans="1:18" ht="20.25" customHeight="1">
      <c r="A138" s="269" t="s">
        <v>117</v>
      </c>
      <c r="B138" s="20" t="s">
        <v>376</v>
      </c>
      <c r="C138" s="21"/>
      <c r="D138" s="107"/>
      <c r="E138" s="107">
        <v>9</v>
      </c>
      <c r="F138" s="196"/>
      <c r="G138" s="196"/>
      <c r="H138" s="324"/>
      <c r="I138" s="107">
        <v>0</v>
      </c>
      <c r="J138" s="196" t="str">
        <f t="shared" si="5"/>
        <v>NB</v>
      </c>
      <c r="K138" s="107"/>
      <c r="L138" s="107"/>
      <c r="M138" s="107">
        <v>9</v>
      </c>
      <c r="N138" s="194"/>
      <c r="O138" s="194"/>
      <c r="P138" s="162">
        <f t="shared" si="6"/>
        <v>0</v>
      </c>
      <c r="Q138" s="107">
        <v>3.17474</v>
      </c>
      <c r="R138" s="107" t="str">
        <f>IF(P138,(P138-Q138)/P138,"NB")</f>
        <v>NB</v>
      </c>
    </row>
    <row r="139" spans="1:18" ht="18.75" customHeight="1">
      <c r="A139" s="269" t="s">
        <v>373</v>
      </c>
      <c r="B139" s="40" t="s">
        <v>246</v>
      </c>
      <c r="C139" s="32"/>
      <c r="D139" s="110"/>
      <c r="E139" s="110">
        <v>2</v>
      </c>
      <c r="F139" s="196"/>
      <c r="G139" s="196"/>
      <c r="H139" s="329">
        <v>4</v>
      </c>
      <c r="I139" s="110">
        <v>1</v>
      </c>
      <c r="J139" s="196">
        <f t="shared" si="5"/>
        <v>0.75</v>
      </c>
      <c r="K139" s="110"/>
      <c r="L139" s="110"/>
      <c r="M139" s="110">
        <v>2</v>
      </c>
      <c r="N139" s="194"/>
      <c r="O139" s="194"/>
      <c r="P139" s="162">
        <f t="shared" si="6"/>
        <v>4</v>
      </c>
      <c r="Q139" s="110">
        <f>9.47897+I139</f>
        <v>10.47897</v>
      </c>
      <c r="R139" s="110">
        <f>IF(P139,(P139-Q139)/P139,"NB")</f>
        <v>-1.6197425</v>
      </c>
    </row>
    <row r="140" spans="1:18" ht="15">
      <c r="A140" s="269" t="s">
        <v>374</v>
      </c>
      <c r="B140" s="40" t="s">
        <v>247</v>
      </c>
      <c r="C140" s="32"/>
      <c r="D140" s="110"/>
      <c r="E140" s="110"/>
      <c r="F140" s="196"/>
      <c r="G140" s="196"/>
      <c r="H140" s="329">
        <v>12</v>
      </c>
      <c r="I140" s="110">
        <v>0</v>
      </c>
      <c r="J140" s="196">
        <f t="shared" si="5"/>
        <v>1</v>
      </c>
      <c r="K140" s="110"/>
      <c r="L140" s="110"/>
      <c r="M140" s="110"/>
      <c r="N140" s="194"/>
      <c r="O140" s="194"/>
      <c r="P140" s="162">
        <f t="shared" si="6"/>
        <v>12</v>
      </c>
      <c r="Q140" s="110">
        <v>3.39417</v>
      </c>
      <c r="R140" s="110">
        <f>IF(P140,(P140-Q140)/P140,"NB")</f>
        <v>0.7171525000000001</v>
      </c>
    </row>
    <row r="141" spans="1:18" ht="30">
      <c r="A141" s="269" t="s">
        <v>375</v>
      </c>
      <c r="B141" s="40" t="s">
        <v>447</v>
      </c>
      <c r="C141" s="32"/>
      <c r="D141" s="110"/>
      <c r="E141" s="110"/>
      <c r="F141" s="196"/>
      <c r="G141" s="196"/>
      <c r="H141" s="329"/>
      <c r="I141" s="110">
        <v>0.065</v>
      </c>
      <c r="J141" s="196" t="str">
        <f t="shared" si="5"/>
        <v>NB</v>
      </c>
      <c r="K141" s="110"/>
      <c r="L141" s="110"/>
      <c r="M141" s="110"/>
      <c r="N141" s="194"/>
      <c r="O141" s="194"/>
      <c r="P141" s="162">
        <f t="shared" si="6"/>
        <v>0</v>
      </c>
      <c r="Q141" s="110">
        <f>0.32+I141</f>
        <v>0.385</v>
      </c>
      <c r="R141" s="110" t="str">
        <f>IF(P141,(P141-Q141)/P141,"NB")</f>
        <v>NB</v>
      </c>
    </row>
    <row r="142" spans="1:18" ht="15">
      <c r="A142" s="269" t="s">
        <v>995</v>
      </c>
      <c r="B142" s="40" t="s">
        <v>576</v>
      </c>
      <c r="C142" s="32"/>
      <c r="D142" s="110"/>
      <c r="E142" s="110"/>
      <c r="F142" s="196"/>
      <c r="G142" s="196"/>
      <c r="H142" s="329"/>
      <c r="I142" s="110">
        <v>0</v>
      </c>
      <c r="J142" s="196"/>
      <c r="K142" s="110"/>
      <c r="L142" s="110"/>
      <c r="M142" s="110"/>
      <c r="N142" s="194"/>
      <c r="O142" s="194"/>
      <c r="P142" s="162"/>
      <c r="Q142" s="110"/>
      <c r="R142" s="110"/>
    </row>
    <row r="143" spans="1:18" ht="15.75">
      <c r="A143" s="27" t="s">
        <v>752</v>
      </c>
      <c r="B143" s="11" t="s">
        <v>753</v>
      </c>
      <c r="C143" s="32"/>
      <c r="D143" s="110"/>
      <c r="E143" s="110"/>
      <c r="F143" s="196"/>
      <c r="G143" s="196"/>
      <c r="H143" s="329"/>
      <c r="I143" s="110">
        <v>0.114</v>
      </c>
      <c r="J143" s="196" t="str">
        <f t="shared" si="5"/>
        <v>NB</v>
      </c>
      <c r="K143" s="110"/>
      <c r="L143" s="110"/>
      <c r="M143" s="110"/>
      <c r="N143" s="194"/>
      <c r="O143" s="194"/>
      <c r="P143" s="162">
        <f t="shared" si="6"/>
        <v>0</v>
      </c>
      <c r="Q143" s="110">
        <f>0.032+I143</f>
        <v>0.14600000000000002</v>
      </c>
      <c r="R143" s="110" t="str">
        <f>IF(P143,(P143-Q143)/P143,"NB")</f>
        <v>NB</v>
      </c>
    </row>
    <row r="144" spans="1:18" s="167" customFormat="1" ht="35.25" customHeight="1">
      <c r="A144" s="267" t="s">
        <v>161</v>
      </c>
      <c r="B144" s="2" t="s">
        <v>448</v>
      </c>
      <c r="C144" s="2"/>
      <c r="D144" s="111"/>
      <c r="E144" s="111"/>
      <c r="F144" s="200"/>
      <c r="G144" s="200"/>
      <c r="H144" s="332">
        <f>+H145+H152+H157+H161+H171+H184+H189+H190+H194+H198+H210+H211+H214+H218+H219+H230+H243+H244+H245+H246+H247+H248+H255</f>
        <v>4538.88</v>
      </c>
      <c r="I144" s="184">
        <f>+I145+I152+I157+I161+I171+I184+I189+I190+I194+I198+I210+I211+I214+I218+I219+I230+I243+I244+I245+I246+I247+I248+I255</f>
        <v>117.47081719999998</v>
      </c>
      <c r="J144" s="200">
        <f t="shared" si="5"/>
        <v>0.9741189859172307</v>
      </c>
      <c r="K144" s="111"/>
      <c r="L144" s="111"/>
      <c r="M144" s="111"/>
      <c r="N144" s="197"/>
      <c r="O144" s="197"/>
      <c r="P144" s="158">
        <f t="shared" si="6"/>
        <v>4538.88</v>
      </c>
      <c r="Q144" s="184">
        <f>+Q145+Q152+Q157+Q161+Q171+Q184+Q189+Q190+Q194+Q198+Q210+Q211+Q214+Q218+Q219+Q230+Q243+Q244+Q245+Q246+Q247+Q248+Q255</f>
        <v>738.0360235</v>
      </c>
      <c r="R144" s="184">
        <f>IF(P144,(P144-Q144)/P144,"NB")</f>
        <v>0.8373968856854554</v>
      </c>
    </row>
    <row r="145" spans="1:18" s="167" customFormat="1" ht="15.75">
      <c r="A145" s="275" t="s">
        <v>162</v>
      </c>
      <c r="B145" s="38" t="s">
        <v>163</v>
      </c>
      <c r="C145" s="38"/>
      <c r="D145" s="72"/>
      <c r="E145" s="72"/>
      <c r="F145" s="199"/>
      <c r="G145" s="199"/>
      <c r="H145" s="333">
        <f>H146</f>
        <v>331.89</v>
      </c>
      <c r="I145" s="145">
        <f>I146</f>
        <v>3.9910971999999996</v>
      </c>
      <c r="J145" s="199">
        <f t="shared" si="5"/>
        <v>0.9879746385850733</v>
      </c>
      <c r="K145" s="72"/>
      <c r="L145" s="72"/>
      <c r="M145" s="72"/>
      <c r="N145" s="198"/>
      <c r="O145" s="198"/>
      <c r="P145" s="134">
        <f t="shared" si="6"/>
        <v>331.89</v>
      </c>
      <c r="Q145" s="145">
        <f>Q146</f>
        <v>61.2487472</v>
      </c>
      <c r="R145" s="145">
        <f>IF(P145,(P145-Q145)/P145,"NB")</f>
        <v>0.8154546771520683</v>
      </c>
    </row>
    <row r="146" spans="1:18" s="167" customFormat="1" ht="15.75">
      <c r="A146" s="275" t="s">
        <v>808</v>
      </c>
      <c r="B146" s="38" t="s">
        <v>424</v>
      </c>
      <c r="C146" s="38"/>
      <c r="D146" s="72"/>
      <c r="E146" s="72"/>
      <c r="F146" s="199"/>
      <c r="G146" s="199"/>
      <c r="H146" s="333">
        <f>SUM(H147:H151)</f>
        <v>331.89</v>
      </c>
      <c r="I146" s="145">
        <f>SUM(I147:I151)</f>
        <v>3.9910971999999996</v>
      </c>
      <c r="J146" s="199">
        <f t="shared" si="5"/>
        <v>0.9879746385850733</v>
      </c>
      <c r="K146" s="72"/>
      <c r="L146" s="72"/>
      <c r="M146" s="72"/>
      <c r="N146" s="198"/>
      <c r="O146" s="198"/>
      <c r="P146" s="134">
        <f t="shared" si="6"/>
        <v>331.89</v>
      </c>
      <c r="Q146" s="145">
        <f>SUM(Q147:Q151)</f>
        <v>61.2487472</v>
      </c>
      <c r="R146" s="145">
        <f>IF(P146,(P146-Q146)/P146,"NB")</f>
        <v>0.8154546771520683</v>
      </c>
    </row>
    <row r="147" spans="1:18" ht="15">
      <c r="A147" s="276" t="s">
        <v>426</v>
      </c>
      <c r="B147" s="41" t="s">
        <v>164</v>
      </c>
      <c r="C147" s="29"/>
      <c r="D147" s="112"/>
      <c r="E147" s="112"/>
      <c r="F147" s="196"/>
      <c r="G147" s="196"/>
      <c r="H147" s="334">
        <v>107.05</v>
      </c>
      <c r="I147" s="112">
        <v>0</v>
      </c>
      <c r="J147" s="196">
        <f t="shared" si="5"/>
        <v>1</v>
      </c>
      <c r="K147" s="112"/>
      <c r="L147" s="112"/>
      <c r="M147" s="112"/>
      <c r="N147" s="194"/>
      <c r="O147" s="194"/>
      <c r="P147" s="162">
        <f t="shared" si="6"/>
        <v>107.05</v>
      </c>
      <c r="Q147" s="112">
        <v>8.29975</v>
      </c>
      <c r="R147" s="112">
        <f>IF(P147,(P147-Q147)/P147,"NB")</f>
        <v>0.9224684726763195</v>
      </c>
    </row>
    <row r="148" spans="1:18" ht="15">
      <c r="A148" s="276" t="s">
        <v>425</v>
      </c>
      <c r="B148" s="41" t="s">
        <v>165</v>
      </c>
      <c r="C148" s="29"/>
      <c r="D148" s="112"/>
      <c r="E148" s="112"/>
      <c r="F148" s="196"/>
      <c r="G148" s="196"/>
      <c r="H148" s="334">
        <v>13.57</v>
      </c>
      <c r="I148" s="112">
        <v>0</v>
      </c>
      <c r="J148" s="196">
        <f aca="true" t="shared" si="7" ref="J148:J179">IF(H148,(H148-I148)/H148,"NB")</f>
        <v>1</v>
      </c>
      <c r="K148" s="112"/>
      <c r="L148" s="112"/>
      <c r="M148" s="112"/>
      <c r="N148" s="194"/>
      <c r="O148" s="194"/>
      <c r="P148" s="162">
        <f t="shared" si="6"/>
        <v>13.57</v>
      </c>
      <c r="Q148" s="112">
        <v>0.386</v>
      </c>
      <c r="R148" s="112">
        <f>IF(P148,(P148-Q148)/P148,"NB")</f>
        <v>0.9715549005158438</v>
      </c>
    </row>
    <row r="149" spans="1:18" ht="30" customHeight="1">
      <c r="A149" s="277" t="s">
        <v>427</v>
      </c>
      <c r="B149" s="67" t="s">
        <v>482</v>
      </c>
      <c r="C149" s="29"/>
      <c r="D149" s="112"/>
      <c r="E149" s="112"/>
      <c r="F149" s="196"/>
      <c r="G149" s="196"/>
      <c r="H149" s="334"/>
      <c r="I149" s="112">
        <v>0.63</v>
      </c>
      <c r="J149" s="196" t="str">
        <f t="shared" si="7"/>
        <v>NB</v>
      </c>
      <c r="K149" s="112"/>
      <c r="L149" s="112"/>
      <c r="M149" s="112"/>
      <c r="N149" s="194"/>
      <c r="O149" s="194"/>
      <c r="P149" s="162">
        <f t="shared" si="6"/>
        <v>0</v>
      </c>
      <c r="Q149" s="112">
        <f>39.72412+I149</f>
        <v>40.35412</v>
      </c>
      <c r="R149" s="112" t="str">
        <f>IF(P149,(P149-Q149)/P149,"NB")</f>
        <v>NB</v>
      </c>
    </row>
    <row r="150" spans="1:18" ht="21.75" customHeight="1">
      <c r="A150" s="277" t="s">
        <v>481</v>
      </c>
      <c r="B150" s="67" t="s">
        <v>483</v>
      </c>
      <c r="C150" s="29"/>
      <c r="D150" s="112"/>
      <c r="E150" s="112"/>
      <c r="F150" s="196"/>
      <c r="G150" s="196"/>
      <c r="H150" s="334"/>
      <c r="I150" s="112">
        <v>0</v>
      </c>
      <c r="J150" s="196" t="str">
        <f t="shared" si="7"/>
        <v>NB</v>
      </c>
      <c r="K150" s="112"/>
      <c r="L150" s="112"/>
      <c r="M150" s="112"/>
      <c r="N150" s="194"/>
      <c r="O150" s="194"/>
      <c r="P150" s="162">
        <f t="shared" si="6"/>
        <v>0</v>
      </c>
      <c r="Q150" s="112">
        <v>0.73</v>
      </c>
      <c r="R150" s="112" t="str">
        <f>IF(P150,(P150-Q150)/P150,"NB")</f>
        <v>NB</v>
      </c>
    </row>
    <row r="151" spans="1:18" ht="31.5" customHeight="1">
      <c r="A151" s="277" t="s">
        <v>544</v>
      </c>
      <c r="B151" s="67" t="s">
        <v>545</v>
      </c>
      <c r="C151" s="29"/>
      <c r="D151" s="112"/>
      <c r="E151" s="112">
        <v>912</v>
      </c>
      <c r="F151" s="196"/>
      <c r="G151" s="196"/>
      <c r="H151" s="334">
        <v>211.27</v>
      </c>
      <c r="I151" s="112">
        <v>3.3610971999999997</v>
      </c>
      <c r="J151" s="196">
        <f t="shared" si="7"/>
        <v>0.9840909868888154</v>
      </c>
      <c r="K151" s="112"/>
      <c r="L151" s="112"/>
      <c r="M151" s="112">
        <v>912</v>
      </c>
      <c r="N151" s="194"/>
      <c r="O151" s="194"/>
      <c r="P151" s="162">
        <f t="shared" si="6"/>
        <v>211.27</v>
      </c>
      <c r="Q151" s="112">
        <f>8.11778+I151</f>
        <v>11.4788772</v>
      </c>
      <c r="R151" s="112">
        <f>IF(P151,(P151-Q151)/P151,"NB")</f>
        <v>0.9456672636910115</v>
      </c>
    </row>
    <row r="152" spans="1:18" s="167" customFormat="1" ht="15.75">
      <c r="A152" s="275" t="s">
        <v>166</v>
      </c>
      <c r="B152" s="38" t="s">
        <v>167</v>
      </c>
      <c r="C152" s="183"/>
      <c r="D152" s="72"/>
      <c r="E152" s="72"/>
      <c r="F152" s="199"/>
      <c r="G152" s="199"/>
      <c r="H152" s="333">
        <f>SUM(H153:H156)</f>
        <v>309.6</v>
      </c>
      <c r="I152" s="145">
        <f>SUM(I153:I156)</f>
        <v>39.04509</v>
      </c>
      <c r="J152" s="199">
        <f t="shared" si="7"/>
        <v>0.8738853682170542</v>
      </c>
      <c r="K152" s="72"/>
      <c r="L152" s="72"/>
      <c r="M152" s="72"/>
      <c r="N152" s="198"/>
      <c r="O152" s="198"/>
      <c r="P152" s="134">
        <f t="shared" si="6"/>
        <v>309.6</v>
      </c>
      <c r="Q152" s="145">
        <f>SUM(Q153:Q156)</f>
        <v>121.3857063</v>
      </c>
      <c r="R152" s="145">
        <f>IF(P152,(P152-Q152)/P152,"NB")</f>
        <v>0.6079273052325582</v>
      </c>
    </row>
    <row r="153" spans="1:18" ht="15">
      <c r="A153" s="276" t="s">
        <v>168</v>
      </c>
      <c r="B153" s="29" t="s">
        <v>169</v>
      </c>
      <c r="C153" s="42"/>
      <c r="D153" s="113">
        <v>17</v>
      </c>
      <c r="E153" s="113">
        <f>3+1</f>
        <v>4</v>
      </c>
      <c r="F153" s="196"/>
      <c r="G153" s="196"/>
      <c r="H153" s="334">
        <v>8.5</v>
      </c>
      <c r="I153" s="112">
        <f>0.47412+0.05</f>
        <v>0.52412</v>
      </c>
      <c r="J153" s="196">
        <f t="shared" si="7"/>
        <v>0.9383388235294118</v>
      </c>
      <c r="K153" s="113"/>
      <c r="L153" s="113">
        <v>17</v>
      </c>
      <c r="M153" s="113">
        <f>17+E153</f>
        <v>21</v>
      </c>
      <c r="N153" s="194"/>
      <c r="O153" s="194"/>
      <c r="P153" s="162">
        <f t="shared" si="6"/>
        <v>8.5</v>
      </c>
      <c r="Q153" s="112">
        <f>0.15845+I153</f>
        <v>0.68257</v>
      </c>
      <c r="R153" s="110">
        <f>IF(P153,(P153-Q153)/P153,"NB")</f>
        <v>0.9196976470588235</v>
      </c>
    </row>
    <row r="154" spans="1:18" ht="15">
      <c r="A154" s="276" t="s">
        <v>170</v>
      </c>
      <c r="B154" s="29" t="s">
        <v>171</v>
      </c>
      <c r="C154" s="32"/>
      <c r="D154" s="110">
        <v>80</v>
      </c>
      <c r="E154" s="110">
        <f>13+6</f>
        <v>19</v>
      </c>
      <c r="F154" s="196"/>
      <c r="G154" s="196"/>
      <c r="H154" s="329">
        <v>20</v>
      </c>
      <c r="I154" s="110">
        <f>1.68883+1.5</f>
        <v>3.1888300000000003</v>
      </c>
      <c r="J154" s="196">
        <f t="shared" si="7"/>
        <v>0.8405585</v>
      </c>
      <c r="K154" s="110"/>
      <c r="L154" s="110">
        <v>80</v>
      </c>
      <c r="M154" s="110">
        <f>80+E154</f>
        <v>99</v>
      </c>
      <c r="N154" s="194"/>
      <c r="O154" s="194"/>
      <c r="P154" s="162">
        <f t="shared" si="6"/>
        <v>20</v>
      </c>
      <c r="Q154" s="110">
        <f>4.26148+I154</f>
        <v>7.45031</v>
      </c>
      <c r="R154" s="110">
        <f>IF(P154,(P154-Q154)/P154,"NB")</f>
        <v>0.6274845</v>
      </c>
    </row>
    <row r="155" spans="1:18" ht="15">
      <c r="A155" s="276" t="s">
        <v>172</v>
      </c>
      <c r="B155" s="29" t="s">
        <v>449</v>
      </c>
      <c r="C155" s="32"/>
      <c r="D155" s="110">
        <v>420</v>
      </c>
      <c r="E155" s="110">
        <f>42+30</f>
        <v>72</v>
      </c>
      <c r="F155" s="196"/>
      <c r="G155" s="196"/>
      <c r="H155" s="329">
        <v>42</v>
      </c>
      <c r="I155" s="110">
        <f>1.82762+3</f>
        <v>4.82762</v>
      </c>
      <c r="J155" s="196">
        <f t="shared" si="7"/>
        <v>0.8850566666666667</v>
      </c>
      <c r="K155" s="110"/>
      <c r="L155" s="110">
        <v>420</v>
      </c>
      <c r="M155" s="110">
        <f>420+E155</f>
        <v>492</v>
      </c>
      <c r="N155" s="194"/>
      <c r="O155" s="194"/>
      <c r="P155" s="162">
        <f t="shared" si="6"/>
        <v>42</v>
      </c>
      <c r="Q155" s="110">
        <f>10.6149463+I155</f>
        <v>15.4425663</v>
      </c>
      <c r="R155" s="110">
        <f>IF(P155,(P155-Q155)/P155,"NB")</f>
        <v>0.63231985</v>
      </c>
    </row>
    <row r="156" spans="1:18" ht="15">
      <c r="A156" s="276" t="s">
        <v>173</v>
      </c>
      <c r="B156" s="29" t="s">
        <v>174</v>
      </c>
      <c r="C156" s="32"/>
      <c r="D156" s="110">
        <v>3878</v>
      </c>
      <c r="E156" s="110">
        <v>722</v>
      </c>
      <c r="F156" s="196"/>
      <c r="G156" s="196"/>
      <c r="H156" s="329">
        <v>239.1</v>
      </c>
      <c r="I156" s="110">
        <v>30.50452</v>
      </c>
      <c r="J156" s="196">
        <f t="shared" si="7"/>
        <v>0.8724194061062318</v>
      </c>
      <c r="K156" s="110"/>
      <c r="L156" s="110">
        <v>3878</v>
      </c>
      <c r="M156" s="110">
        <f>3878+E156</f>
        <v>4600</v>
      </c>
      <c r="N156" s="194"/>
      <c r="O156" s="194"/>
      <c r="P156" s="162">
        <f t="shared" si="6"/>
        <v>239.1</v>
      </c>
      <c r="Q156" s="110">
        <f>67.30574+I156</f>
        <v>97.81026</v>
      </c>
      <c r="R156" s="110">
        <f>IF(P156,(P156-Q156)/P156,"NB")</f>
        <v>0.5909232120451694</v>
      </c>
    </row>
    <row r="157" spans="1:18" s="167" customFormat="1" ht="15.75">
      <c r="A157" s="275" t="s">
        <v>312</v>
      </c>
      <c r="B157" s="38" t="s">
        <v>180</v>
      </c>
      <c r="C157" s="183"/>
      <c r="D157" s="72"/>
      <c r="E157" s="72"/>
      <c r="F157" s="199"/>
      <c r="G157" s="199"/>
      <c r="H157" s="333">
        <f>SUM(H158:H160)</f>
        <v>88.6</v>
      </c>
      <c r="I157" s="145">
        <f>SUM(I158:I160)</f>
        <v>12.66832</v>
      </c>
      <c r="J157" s="199">
        <f t="shared" si="7"/>
        <v>0.8570167042889391</v>
      </c>
      <c r="K157" s="72"/>
      <c r="L157" s="72"/>
      <c r="M157" s="72"/>
      <c r="N157" s="198"/>
      <c r="O157" s="198"/>
      <c r="P157" s="134">
        <f t="shared" si="6"/>
        <v>88.6</v>
      </c>
      <c r="Q157" s="145">
        <f>SUM(Q158:Q160)</f>
        <v>26.52673</v>
      </c>
      <c r="R157" s="145">
        <f>IF(P157,(P157-Q157)/P157,"NB")</f>
        <v>0.7006012415349887</v>
      </c>
    </row>
    <row r="158" spans="1:18" ht="15">
      <c r="A158" s="276" t="s">
        <v>571</v>
      </c>
      <c r="B158" s="29" t="s">
        <v>177</v>
      </c>
      <c r="C158" s="32"/>
      <c r="D158" s="110">
        <v>17</v>
      </c>
      <c r="E158" s="110">
        <f>3+1</f>
        <v>4</v>
      </c>
      <c r="F158" s="196"/>
      <c r="G158" s="196"/>
      <c r="H158" s="329">
        <v>17</v>
      </c>
      <c r="I158" s="110">
        <f>1.64595+1</f>
        <v>2.64595</v>
      </c>
      <c r="J158" s="196">
        <f t="shared" si="7"/>
        <v>0.8443558823529412</v>
      </c>
      <c r="K158" s="110"/>
      <c r="L158" s="110">
        <v>17</v>
      </c>
      <c r="M158" s="110">
        <f>17+E158</f>
        <v>21</v>
      </c>
      <c r="N158" s="194"/>
      <c r="O158" s="194"/>
      <c r="P158" s="162">
        <f t="shared" si="6"/>
        <v>17</v>
      </c>
      <c r="Q158" s="110">
        <f>0.67072+I158</f>
        <v>3.3166700000000002</v>
      </c>
      <c r="R158" s="110">
        <f>IF(P158,(P158-Q158)/P158,"NB")</f>
        <v>0.8049017647058824</v>
      </c>
    </row>
    <row r="159" spans="1:18" ht="15">
      <c r="A159" s="276" t="s">
        <v>572</v>
      </c>
      <c r="B159" s="29" t="s">
        <v>178</v>
      </c>
      <c r="C159" s="32"/>
      <c r="D159" s="110">
        <v>80</v>
      </c>
      <c r="E159" s="110">
        <f>14+6</f>
        <v>20</v>
      </c>
      <c r="F159" s="196"/>
      <c r="G159" s="196"/>
      <c r="H159" s="329">
        <v>40</v>
      </c>
      <c r="I159" s="110">
        <f>6.03481+3</f>
        <v>9.03481</v>
      </c>
      <c r="J159" s="196">
        <f t="shared" si="7"/>
        <v>0.77412975</v>
      </c>
      <c r="K159" s="110"/>
      <c r="L159" s="110">
        <v>80</v>
      </c>
      <c r="M159" s="110">
        <f>80+E159</f>
        <v>100</v>
      </c>
      <c r="N159" s="194"/>
      <c r="O159" s="194"/>
      <c r="P159" s="162">
        <f t="shared" si="6"/>
        <v>40</v>
      </c>
      <c r="Q159" s="110">
        <f>6.12781+I159</f>
        <v>15.16262</v>
      </c>
      <c r="R159" s="110">
        <f>IF(P159,(P159-Q159)/P159,"NB")</f>
        <v>0.6209345</v>
      </c>
    </row>
    <row r="160" spans="1:18" ht="15">
      <c r="A160" s="276" t="s">
        <v>573</v>
      </c>
      <c r="B160" s="29" t="s">
        <v>450</v>
      </c>
      <c r="C160" s="32"/>
      <c r="D160" s="110">
        <v>420</v>
      </c>
      <c r="E160" s="110">
        <v>30</v>
      </c>
      <c r="F160" s="196"/>
      <c r="G160" s="196"/>
      <c r="H160" s="329">
        <v>31.6</v>
      </c>
      <c r="I160" s="110">
        <v>0.98756</v>
      </c>
      <c r="J160" s="196">
        <f t="shared" si="7"/>
        <v>0.9687481012658228</v>
      </c>
      <c r="K160" s="110"/>
      <c r="L160" s="110">
        <v>420</v>
      </c>
      <c r="M160" s="110">
        <f>420+E160</f>
        <v>450</v>
      </c>
      <c r="N160" s="194"/>
      <c r="O160" s="194"/>
      <c r="P160" s="162">
        <f t="shared" si="6"/>
        <v>31.6</v>
      </c>
      <c r="Q160" s="110">
        <f>7.05988+I160</f>
        <v>8.04744</v>
      </c>
      <c r="R160" s="110">
        <f>IF(P160,(P160-Q160)/P160,"NB")</f>
        <v>0.7453341772151898</v>
      </c>
    </row>
    <row r="161" spans="1:18" s="167" customFormat="1" ht="15.75">
      <c r="A161" s="62" t="s">
        <v>313</v>
      </c>
      <c r="B161" s="38" t="s">
        <v>175</v>
      </c>
      <c r="C161" s="183"/>
      <c r="D161" s="72"/>
      <c r="E161" s="72"/>
      <c r="F161" s="199"/>
      <c r="G161" s="199"/>
      <c r="H161" s="333">
        <f>+H162+H168+H169+H170</f>
        <v>772.43</v>
      </c>
      <c r="I161" s="145">
        <f>+I162+I168+I169+I170</f>
        <v>0.2</v>
      </c>
      <c r="J161" s="199">
        <f t="shared" si="7"/>
        <v>0.9997410768613336</v>
      </c>
      <c r="K161" s="72"/>
      <c r="L161" s="72"/>
      <c r="M161" s="72"/>
      <c r="N161" s="198"/>
      <c r="O161" s="198"/>
      <c r="P161" s="134">
        <f t="shared" si="6"/>
        <v>772.43</v>
      </c>
      <c r="Q161" s="145">
        <f>+Q162+Q168+Q169+Q170</f>
        <v>9.055109999999999</v>
      </c>
      <c r="R161" s="145">
        <f>IF(P161,(P161-Q161)/P161,"NB")</f>
        <v>0.9882771124891576</v>
      </c>
    </row>
    <row r="162" spans="1:18" s="167" customFormat="1" ht="31.5">
      <c r="A162" s="62" t="s">
        <v>314</v>
      </c>
      <c r="B162" s="43" t="s">
        <v>451</v>
      </c>
      <c r="C162" s="183"/>
      <c r="D162" s="72"/>
      <c r="E162" s="72"/>
      <c r="F162" s="199"/>
      <c r="G162" s="199"/>
      <c r="H162" s="333">
        <f>SUM(H163:H167)</f>
        <v>769.88</v>
      </c>
      <c r="I162" s="145">
        <f>SUM(I163:I167)</f>
        <v>0.2</v>
      </c>
      <c r="J162" s="199">
        <f t="shared" si="7"/>
        <v>0.9997402192549487</v>
      </c>
      <c r="K162" s="72"/>
      <c r="L162" s="72"/>
      <c r="M162" s="72"/>
      <c r="N162" s="198"/>
      <c r="O162" s="198"/>
      <c r="P162" s="134">
        <f t="shared" si="6"/>
        <v>769.88</v>
      </c>
      <c r="Q162" s="145">
        <f>SUM(Q163:Q167)</f>
        <v>9.055109999999999</v>
      </c>
      <c r="R162" s="145">
        <f>IF(P162,(P162-Q162)/P162,"NB")</f>
        <v>0.9882382838883982</v>
      </c>
    </row>
    <row r="163" spans="1:18" ht="15">
      <c r="A163" s="276" t="s">
        <v>315</v>
      </c>
      <c r="B163" s="29" t="s">
        <v>176</v>
      </c>
      <c r="C163" s="32"/>
      <c r="D163" s="32"/>
      <c r="E163" s="32"/>
      <c r="F163" s="196"/>
      <c r="G163" s="196"/>
      <c r="H163" s="329">
        <v>110</v>
      </c>
      <c r="I163" s="110">
        <v>0</v>
      </c>
      <c r="J163" s="196">
        <f t="shared" si="7"/>
        <v>1</v>
      </c>
      <c r="K163" s="32"/>
      <c r="L163" s="32"/>
      <c r="M163" s="32"/>
      <c r="N163" s="194"/>
      <c r="O163" s="194"/>
      <c r="P163" s="162">
        <f t="shared" si="6"/>
        <v>110</v>
      </c>
      <c r="Q163" s="32"/>
      <c r="R163" s="110">
        <f>IF(P163,(P163-Q163)/P163,"NB")</f>
        <v>1</v>
      </c>
    </row>
    <row r="164" spans="1:18" ht="15">
      <c r="A164" s="276" t="s">
        <v>316</v>
      </c>
      <c r="B164" s="29" t="s">
        <v>177</v>
      </c>
      <c r="C164" s="32"/>
      <c r="D164" s="32"/>
      <c r="E164" s="32">
        <v>1</v>
      </c>
      <c r="F164" s="196"/>
      <c r="G164" s="196"/>
      <c r="H164" s="329">
        <v>441.38</v>
      </c>
      <c r="I164" s="110"/>
      <c r="J164" s="196">
        <f t="shared" si="7"/>
        <v>1</v>
      </c>
      <c r="K164" s="32"/>
      <c r="L164" s="32"/>
      <c r="M164" s="32">
        <v>1</v>
      </c>
      <c r="N164" s="194"/>
      <c r="O164" s="194"/>
      <c r="P164" s="162">
        <f t="shared" si="6"/>
        <v>441.38</v>
      </c>
      <c r="Q164" s="32">
        <v>0.19525</v>
      </c>
      <c r="R164" s="110">
        <f>IF(P164,(P164-Q164)/P164,"NB")</f>
        <v>0.9995576374099415</v>
      </c>
    </row>
    <row r="165" spans="1:18" ht="15">
      <c r="A165" s="276" t="s">
        <v>317</v>
      </c>
      <c r="B165" s="29" t="s">
        <v>178</v>
      </c>
      <c r="C165" s="32"/>
      <c r="D165" s="32"/>
      <c r="E165" s="32">
        <v>3</v>
      </c>
      <c r="F165" s="196"/>
      <c r="G165" s="196"/>
      <c r="H165" s="329">
        <v>82</v>
      </c>
      <c r="I165" s="110"/>
      <c r="J165" s="196">
        <f t="shared" si="7"/>
        <v>1</v>
      </c>
      <c r="K165" s="32"/>
      <c r="L165" s="32"/>
      <c r="M165" s="32">
        <v>3</v>
      </c>
      <c r="N165" s="194"/>
      <c r="O165" s="194"/>
      <c r="P165" s="162">
        <f t="shared" si="6"/>
        <v>82</v>
      </c>
      <c r="Q165" s="32">
        <v>1.87986</v>
      </c>
      <c r="R165" s="110">
        <f>IF(P165,(P165-Q165)/P165,"NB")</f>
        <v>0.9770748780487806</v>
      </c>
    </row>
    <row r="166" spans="1:18" ht="15">
      <c r="A166" s="276" t="s">
        <v>318</v>
      </c>
      <c r="B166" s="29" t="s">
        <v>450</v>
      </c>
      <c r="C166" s="44"/>
      <c r="D166" s="44"/>
      <c r="E166" s="44"/>
      <c r="F166" s="196"/>
      <c r="G166" s="196"/>
      <c r="H166" s="335">
        <v>91.5</v>
      </c>
      <c r="I166" s="148"/>
      <c r="J166" s="196">
        <f t="shared" si="7"/>
        <v>1</v>
      </c>
      <c r="K166" s="44"/>
      <c r="L166" s="44"/>
      <c r="M166" s="44"/>
      <c r="N166" s="194"/>
      <c r="O166" s="194"/>
      <c r="P166" s="162">
        <f t="shared" si="6"/>
        <v>91.5</v>
      </c>
      <c r="Q166" s="44">
        <v>6.78</v>
      </c>
      <c r="R166" s="148">
        <f>IF(P166,(P166-Q166)/P166,"NB")</f>
        <v>0.9259016393442623</v>
      </c>
    </row>
    <row r="167" spans="1:18" ht="15">
      <c r="A167" s="276" t="s">
        <v>319</v>
      </c>
      <c r="B167" s="40" t="s">
        <v>179</v>
      </c>
      <c r="C167" s="32"/>
      <c r="D167" s="32"/>
      <c r="E167" s="32"/>
      <c r="F167" s="196"/>
      <c r="G167" s="196"/>
      <c r="H167" s="329">
        <v>45</v>
      </c>
      <c r="I167" s="110">
        <v>0.2</v>
      </c>
      <c r="J167" s="196">
        <f t="shared" si="7"/>
        <v>0.9955555555555555</v>
      </c>
      <c r="K167" s="32"/>
      <c r="L167" s="32"/>
      <c r="M167" s="32"/>
      <c r="N167" s="194"/>
      <c r="O167" s="194"/>
      <c r="P167" s="162">
        <f t="shared" si="6"/>
        <v>45</v>
      </c>
      <c r="Q167" s="32">
        <f>I167</f>
        <v>0.2</v>
      </c>
      <c r="R167" s="110">
        <f>IF(P167,(P167-Q167)/P167,"NB")</f>
        <v>0.9955555555555555</v>
      </c>
    </row>
    <row r="168" spans="1:18" ht="31.5">
      <c r="A168" s="278" t="s">
        <v>320</v>
      </c>
      <c r="B168" s="45" t="s">
        <v>547</v>
      </c>
      <c r="C168" s="32"/>
      <c r="D168" s="32"/>
      <c r="E168" s="32"/>
      <c r="F168" s="196"/>
      <c r="G168" s="196"/>
      <c r="H168" s="329"/>
      <c r="I168" s="110"/>
      <c r="J168" s="196" t="str">
        <f t="shared" si="7"/>
        <v>NB</v>
      </c>
      <c r="K168" s="32"/>
      <c r="L168" s="32"/>
      <c r="M168" s="32"/>
      <c r="N168" s="194"/>
      <c r="O168" s="194"/>
      <c r="P168" s="162">
        <f t="shared" si="6"/>
        <v>0</v>
      </c>
      <c r="Q168" s="32"/>
      <c r="R168" s="110" t="str">
        <f>IF(P168,(P168-Q168)/P168,"NB")</f>
        <v>NB</v>
      </c>
    </row>
    <row r="169" spans="1:18" ht="15">
      <c r="A169" s="268" t="s">
        <v>321</v>
      </c>
      <c r="B169" s="40" t="s">
        <v>118</v>
      </c>
      <c r="C169" s="36"/>
      <c r="D169" s="36"/>
      <c r="E169" s="36"/>
      <c r="F169" s="196"/>
      <c r="G169" s="196"/>
      <c r="H169" s="336">
        <v>2.55</v>
      </c>
      <c r="I169" s="109"/>
      <c r="J169" s="196">
        <f t="shared" si="7"/>
        <v>1</v>
      </c>
      <c r="K169" s="36"/>
      <c r="L169" s="36"/>
      <c r="M169" s="36"/>
      <c r="N169" s="194"/>
      <c r="O169" s="194"/>
      <c r="P169" s="162">
        <f t="shared" si="6"/>
        <v>2.55</v>
      </c>
      <c r="Q169" s="36"/>
      <c r="R169" s="109">
        <f>IF(P169,(P169-Q169)/P169,"NB")</f>
        <v>1</v>
      </c>
    </row>
    <row r="170" spans="1:18" ht="15.75">
      <c r="A170" s="268" t="s">
        <v>322</v>
      </c>
      <c r="B170" s="46" t="s">
        <v>115</v>
      </c>
      <c r="C170" s="1"/>
      <c r="D170" s="1"/>
      <c r="E170" s="1"/>
      <c r="F170" s="196"/>
      <c r="G170" s="196"/>
      <c r="H170" s="323"/>
      <c r="I170" s="108"/>
      <c r="J170" s="196" t="str">
        <f t="shared" si="7"/>
        <v>NB</v>
      </c>
      <c r="K170" s="1"/>
      <c r="L170" s="1"/>
      <c r="M170" s="1"/>
      <c r="N170" s="194"/>
      <c r="O170" s="194"/>
      <c r="P170" s="162">
        <f t="shared" si="6"/>
        <v>0</v>
      </c>
      <c r="Q170" s="1"/>
      <c r="R170" s="108" t="str">
        <f>IF(P170,(P170-Q170)/P170,"NB")</f>
        <v>NB</v>
      </c>
    </row>
    <row r="171" spans="1:18" s="167" customFormat="1" ht="31.5">
      <c r="A171" s="275" t="s">
        <v>181</v>
      </c>
      <c r="B171" s="47" t="s">
        <v>756</v>
      </c>
      <c r="C171" s="183"/>
      <c r="D171" s="72"/>
      <c r="E171" s="72"/>
      <c r="F171" s="199"/>
      <c r="G171" s="199"/>
      <c r="H171" s="333">
        <f>SUM(H172:H183)</f>
        <v>1294.3000000000002</v>
      </c>
      <c r="I171" s="145">
        <f>SUM(I172:I183)</f>
        <v>0</v>
      </c>
      <c r="J171" s="199">
        <f t="shared" si="7"/>
        <v>1</v>
      </c>
      <c r="K171" s="72"/>
      <c r="L171" s="72"/>
      <c r="M171" s="72"/>
      <c r="N171" s="198"/>
      <c r="O171" s="198"/>
      <c r="P171" s="134">
        <f t="shared" si="6"/>
        <v>1294.3000000000002</v>
      </c>
      <c r="Q171" s="145">
        <f>SUM(Q172:Q183)</f>
        <v>18.9161</v>
      </c>
      <c r="R171" s="145">
        <f>IF(P171,(P171-Q171)/P171,"NB")</f>
        <v>0.9853850730124393</v>
      </c>
    </row>
    <row r="172" spans="1:18" ht="15">
      <c r="A172" s="276" t="s">
        <v>182</v>
      </c>
      <c r="B172" s="30" t="s">
        <v>177</v>
      </c>
      <c r="C172" s="32"/>
      <c r="D172" s="110"/>
      <c r="E172" s="110"/>
      <c r="F172" s="196"/>
      <c r="G172" s="196"/>
      <c r="H172" s="329"/>
      <c r="I172" s="110"/>
      <c r="J172" s="196" t="str">
        <f t="shared" si="7"/>
        <v>NB</v>
      </c>
      <c r="K172" s="110"/>
      <c r="L172" s="110"/>
      <c r="M172" s="110"/>
      <c r="N172" s="194"/>
      <c r="O172" s="194"/>
      <c r="P172" s="162">
        <f t="shared" si="6"/>
        <v>0</v>
      </c>
      <c r="Q172" s="110"/>
      <c r="R172" s="110" t="str">
        <f>IF(P172,(P172-Q172)/P172,"NB")</f>
        <v>NB</v>
      </c>
    </row>
    <row r="173" spans="1:18" ht="15">
      <c r="A173" s="276" t="s">
        <v>183</v>
      </c>
      <c r="B173" s="30" t="s">
        <v>178</v>
      </c>
      <c r="C173" s="32"/>
      <c r="D173" s="110"/>
      <c r="E173" s="110"/>
      <c r="F173" s="196"/>
      <c r="G173" s="196"/>
      <c r="H173" s="329">
        <v>434.6</v>
      </c>
      <c r="I173" s="110"/>
      <c r="J173" s="196">
        <f t="shared" si="7"/>
        <v>1</v>
      </c>
      <c r="K173" s="110"/>
      <c r="L173" s="110"/>
      <c r="M173" s="110"/>
      <c r="N173" s="194"/>
      <c r="O173" s="194"/>
      <c r="P173" s="162">
        <f t="shared" si="6"/>
        <v>434.6</v>
      </c>
      <c r="Q173" s="110"/>
      <c r="R173" s="110">
        <f>IF(P173,(P173-Q173)/P173,"NB")</f>
        <v>1</v>
      </c>
    </row>
    <row r="174" spans="1:18" ht="15">
      <c r="A174" s="276" t="s">
        <v>184</v>
      </c>
      <c r="B174" s="30" t="s">
        <v>757</v>
      </c>
      <c r="C174" s="32"/>
      <c r="D174" s="110"/>
      <c r="E174" s="110"/>
      <c r="F174" s="196"/>
      <c r="G174" s="196"/>
      <c r="H174" s="329">
        <v>345.07</v>
      </c>
      <c r="I174" s="110"/>
      <c r="J174" s="196">
        <f t="shared" si="7"/>
        <v>1</v>
      </c>
      <c r="K174" s="110"/>
      <c r="L174" s="110"/>
      <c r="M174" s="110"/>
      <c r="N174" s="194"/>
      <c r="O174" s="194"/>
      <c r="P174" s="162">
        <f t="shared" si="6"/>
        <v>345.07</v>
      </c>
      <c r="Q174" s="110">
        <v>18.27</v>
      </c>
      <c r="R174" s="110">
        <f>IF(P174,(P174-Q174)/P174,"NB")</f>
        <v>0.9470542208827195</v>
      </c>
    </row>
    <row r="175" spans="1:18" ht="30">
      <c r="A175" s="279" t="s">
        <v>185</v>
      </c>
      <c r="B175" s="193" t="s">
        <v>186</v>
      </c>
      <c r="C175" s="32"/>
      <c r="D175" s="110"/>
      <c r="E175" s="110"/>
      <c r="F175" s="196"/>
      <c r="G175" s="196"/>
      <c r="H175" s="329"/>
      <c r="I175" s="110"/>
      <c r="J175" s="196" t="str">
        <f t="shared" si="7"/>
        <v>NB</v>
      </c>
      <c r="K175" s="110"/>
      <c r="L175" s="110"/>
      <c r="M175" s="110"/>
      <c r="N175" s="194"/>
      <c r="O175" s="194"/>
      <c r="P175" s="162">
        <f t="shared" si="6"/>
        <v>0</v>
      </c>
      <c r="Q175" s="110"/>
      <c r="R175" s="202" t="str">
        <f>IF(P175,(P175-Q175)/P175,"NB")</f>
        <v>NB</v>
      </c>
    </row>
    <row r="176" spans="1:18" ht="15">
      <c r="A176" s="276" t="s">
        <v>187</v>
      </c>
      <c r="B176" s="30" t="s">
        <v>188</v>
      </c>
      <c r="C176" s="32"/>
      <c r="D176" s="110"/>
      <c r="E176" s="110"/>
      <c r="F176" s="196"/>
      <c r="G176" s="196"/>
      <c r="H176" s="329">
        <v>53</v>
      </c>
      <c r="I176" s="110"/>
      <c r="J176" s="196">
        <f t="shared" si="7"/>
        <v>1</v>
      </c>
      <c r="K176" s="110"/>
      <c r="L176" s="110"/>
      <c r="M176" s="110"/>
      <c r="N176" s="194"/>
      <c r="O176" s="194"/>
      <c r="P176" s="162">
        <f t="shared" si="6"/>
        <v>53</v>
      </c>
      <c r="Q176" s="110"/>
      <c r="R176" s="202">
        <f>IF(P176,(P176-Q176)/P176,"NB")</f>
        <v>1</v>
      </c>
    </row>
    <row r="177" spans="1:18" ht="35.25" customHeight="1">
      <c r="A177" s="276" t="s">
        <v>189</v>
      </c>
      <c r="B177" s="48" t="s">
        <v>758</v>
      </c>
      <c r="C177" s="32"/>
      <c r="D177" s="110"/>
      <c r="E177" s="110"/>
      <c r="F177" s="196"/>
      <c r="G177" s="196"/>
      <c r="H177" s="329"/>
      <c r="I177" s="110"/>
      <c r="J177" s="196" t="str">
        <f t="shared" si="7"/>
        <v>NB</v>
      </c>
      <c r="K177" s="110"/>
      <c r="L177" s="110"/>
      <c r="M177" s="110"/>
      <c r="N177" s="194"/>
      <c r="O177" s="194"/>
      <c r="P177" s="162">
        <f t="shared" si="6"/>
        <v>0</v>
      </c>
      <c r="Q177" s="110"/>
      <c r="R177" s="202" t="str">
        <f>IF(P177,(P177-Q177)/P177,"NB")</f>
        <v>NB</v>
      </c>
    </row>
    <row r="178" spans="1:18" ht="30">
      <c r="A178" s="276" t="s">
        <v>323</v>
      </c>
      <c r="B178" s="23" t="s">
        <v>759</v>
      </c>
      <c r="C178" s="66"/>
      <c r="D178" s="109"/>
      <c r="E178" s="109"/>
      <c r="F178" s="196"/>
      <c r="G178" s="196"/>
      <c r="H178" s="336"/>
      <c r="I178" s="109"/>
      <c r="J178" s="196" t="str">
        <f t="shared" si="7"/>
        <v>NB</v>
      </c>
      <c r="K178" s="109"/>
      <c r="L178" s="109"/>
      <c r="M178" s="109"/>
      <c r="N178" s="194"/>
      <c r="O178" s="194"/>
      <c r="P178" s="162">
        <f t="shared" si="6"/>
        <v>0</v>
      </c>
      <c r="Q178" s="109"/>
      <c r="R178" s="202" t="str">
        <f>IF(P178,(P178-Q178)/P178,"NB")</f>
        <v>NB</v>
      </c>
    </row>
    <row r="179" spans="1:18" ht="30">
      <c r="A179" s="276" t="s">
        <v>324</v>
      </c>
      <c r="B179" s="23" t="s">
        <v>760</v>
      </c>
      <c r="C179" s="28"/>
      <c r="D179" s="107"/>
      <c r="E179" s="107"/>
      <c r="F179" s="196"/>
      <c r="G179" s="196"/>
      <c r="H179" s="324">
        <v>461.63</v>
      </c>
      <c r="I179" s="107"/>
      <c r="J179" s="196">
        <f t="shared" si="7"/>
        <v>1</v>
      </c>
      <c r="K179" s="107"/>
      <c r="L179" s="107"/>
      <c r="M179" s="107"/>
      <c r="N179" s="194"/>
      <c r="O179" s="194"/>
      <c r="P179" s="162">
        <f t="shared" si="6"/>
        <v>461.63</v>
      </c>
      <c r="Q179" s="107"/>
      <c r="R179" s="202">
        <f>IF(P179,(P179-Q179)/P179,"NB")</f>
        <v>1</v>
      </c>
    </row>
    <row r="180" spans="1:18" ht="45">
      <c r="A180" s="279" t="s">
        <v>325</v>
      </c>
      <c r="B180" s="23" t="s">
        <v>489</v>
      </c>
      <c r="C180" s="1"/>
      <c r="D180" s="108"/>
      <c r="E180" s="108"/>
      <c r="F180" s="196"/>
      <c r="G180" s="196"/>
      <c r="H180" s="323"/>
      <c r="I180" s="108"/>
      <c r="J180" s="196" t="str">
        <f aca="true" t="shared" si="8" ref="J180:J211">IF(H180,(H180-I180)/H180,"NB")</f>
        <v>NB</v>
      </c>
      <c r="K180" s="108"/>
      <c r="L180" s="108"/>
      <c r="M180" s="108"/>
      <c r="N180" s="194"/>
      <c r="O180" s="194"/>
      <c r="P180" s="162">
        <f t="shared" si="6"/>
        <v>0</v>
      </c>
      <c r="Q180" s="108">
        <v>0.6461</v>
      </c>
      <c r="R180" s="202" t="str">
        <f>IF(P180,(P180-Q180)/P180,"NB")</f>
        <v>NB</v>
      </c>
    </row>
    <row r="181" spans="1:18" ht="15.75">
      <c r="A181" s="279" t="s">
        <v>465</v>
      </c>
      <c r="B181" s="23" t="s">
        <v>487</v>
      </c>
      <c r="C181" s="1"/>
      <c r="D181" s="108"/>
      <c r="E181" s="108"/>
      <c r="F181" s="196"/>
      <c r="G181" s="196"/>
      <c r="H181" s="323"/>
      <c r="I181" s="108"/>
      <c r="J181" s="196" t="str">
        <f t="shared" si="8"/>
        <v>NB</v>
      </c>
      <c r="K181" s="108"/>
      <c r="L181" s="108"/>
      <c r="M181" s="108"/>
      <c r="N181" s="194"/>
      <c r="O181" s="194"/>
      <c r="P181" s="162">
        <f t="shared" si="6"/>
        <v>0</v>
      </c>
      <c r="Q181" s="108"/>
      <c r="R181" s="202" t="str">
        <f>IF(P181,(P181-Q181)/P181,"NB")</f>
        <v>NB</v>
      </c>
    </row>
    <row r="182" spans="1:18" ht="60">
      <c r="A182" s="279" t="s">
        <v>484</v>
      </c>
      <c r="B182" s="23" t="s">
        <v>761</v>
      </c>
      <c r="C182" s="1"/>
      <c r="D182" s="108"/>
      <c r="E182" s="108"/>
      <c r="F182" s="196"/>
      <c r="G182" s="196"/>
      <c r="H182" s="323"/>
      <c r="I182" s="108"/>
      <c r="J182" s="196" t="str">
        <f t="shared" si="8"/>
        <v>NB</v>
      </c>
      <c r="K182" s="108"/>
      <c r="L182" s="108"/>
      <c r="M182" s="108"/>
      <c r="N182" s="194"/>
      <c r="O182" s="194"/>
      <c r="P182" s="162">
        <f t="shared" si="6"/>
        <v>0</v>
      </c>
      <c r="Q182" s="108"/>
      <c r="R182" s="202" t="str">
        <f>IF(P182,(P182-Q182)/P182,"NB")</f>
        <v>NB</v>
      </c>
    </row>
    <row r="183" spans="1:18" ht="30">
      <c r="A183" s="280" t="s">
        <v>485</v>
      </c>
      <c r="B183" s="23" t="s">
        <v>486</v>
      </c>
      <c r="C183" s="78"/>
      <c r="D183" s="114"/>
      <c r="E183" s="114"/>
      <c r="F183" s="196"/>
      <c r="G183" s="238"/>
      <c r="H183" s="337"/>
      <c r="I183" s="114"/>
      <c r="J183" s="196" t="str">
        <f t="shared" si="8"/>
        <v>NB</v>
      </c>
      <c r="K183" s="114"/>
      <c r="L183" s="114"/>
      <c r="M183" s="114"/>
      <c r="N183" s="194"/>
      <c r="O183" s="194"/>
      <c r="P183" s="162">
        <f t="shared" si="6"/>
        <v>0</v>
      </c>
      <c r="Q183" s="114"/>
      <c r="R183" s="202" t="str">
        <f>IF(P183,(P183-Q183)/P183,"NB")</f>
        <v>NB</v>
      </c>
    </row>
    <row r="184" spans="1:18" s="167" customFormat="1" ht="15.75">
      <c r="A184" s="275" t="s">
        <v>326</v>
      </c>
      <c r="B184" s="38" t="s">
        <v>190</v>
      </c>
      <c r="C184" s="183"/>
      <c r="D184" s="72"/>
      <c r="E184" s="72"/>
      <c r="F184" s="199"/>
      <c r="G184" s="199"/>
      <c r="H184" s="333">
        <f>SUM(H185:H188)</f>
        <v>118.06</v>
      </c>
      <c r="I184" s="145">
        <f>SUM(I185:I188)</f>
        <v>22.38832</v>
      </c>
      <c r="J184" s="199">
        <f t="shared" si="8"/>
        <v>0.8103648992037947</v>
      </c>
      <c r="K184" s="72"/>
      <c r="L184" s="72"/>
      <c r="M184" s="72"/>
      <c r="N184" s="198"/>
      <c r="O184" s="198"/>
      <c r="P184" s="134">
        <f t="shared" si="6"/>
        <v>118.06</v>
      </c>
      <c r="Q184" s="145">
        <f>SUM(Q185:Q188)</f>
        <v>35.10225</v>
      </c>
      <c r="R184" s="145">
        <f>IF(P184,(P184-Q184)/P184,"NB")</f>
        <v>0.7026744875487041</v>
      </c>
    </row>
    <row r="185" spans="1:18" ht="15">
      <c r="A185" s="276" t="s">
        <v>191</v>
      </c>
      <c r="B185" s="29" t="s">
        <v>192</v>
      </c>
      <c r="C185" s="32"/>
      <c r="D185" s="110">
        <v>8</v>
      </c>
      <c r="E185" s="110">
        <v>1</v>
      </c>
      <c r="F185" s="196"/>
      <c r="G185" s="196"/>
      <c r="H185" s="329">
        <v>28.06</v>
      </c>
      <c r="I185" s="110">
        <f>0.2734+3</f>
        <v>3.2734</v>
      </c>
      <c r="J185" s="196">
        <f t="shared" si="8"/>
        <v>0.8833428367783321</v>
      </c>
      <c r="K185" s="110"/>
      <c r="L185" s="110">
        <v>8</v>
      </c>
      <c r="M185" s="110">
        <f>8+E185</f>
        <v>9</v>
      </c>
      <c r="N185" s="194"/>
      <c r="O185" s="194"/>
      <c r="P185" s="162">
        <f aca="true" t="shared" si="9" ref="P185:P248">H185</f>
        <v>28.06</v>
      </c>
      <c r="Q185" s="110">
        <f>0.82258+I185</f>
        <v>4.09598</v>
      </c>
      <c r="R185" s="202">
        <f>IF(P185,(P185-Q185)/P185,"NB")</f>
        <v>0.8540277975766215</v>
      </c>
    </row>
    <row r="186" spans="1:18" ht="15">
      <c r="A186" s="276" t="s">
        <v>193</v>
      </c>
      <c r="B186" s="29" t="s">
        <v>177</v>
      </c>
      <c r="C186" s="32"/>
      <c r="D186" s="110">
        <v>17</v>
      </c>
      <c r="E186" s="110">
        <f>4+1</f>
        <v>5</v>
      </c>
      <c r="F186" s="196"/>
      <c r="G186" s="196"/>
      <c r="H186" s="329">
        <v>17</v>
      </c>
      <c r="I186" s="110">
        <f>2.64117+1</f>
        <v>3.64117</v>
      </c>
      <c r="J186" s="196">
        <f t="shared" si="8"/>
        <v>0.7858135294117647</v>
      </c>
      <c r="K186" s="110"/>
      <c r="L186" s="110">
        <v>17</v>
      </c>
      <c r="M186" s="110">
        <f>17+E186</f>
        <v>22</v>
      </c>
      <c r="N186" s="194"/>
      <c r="O186" s="194"/>
      <c r="P186" s="162">
        <f t="shared" si="9"/>
        <v>17</v>
      </c>
      <c r="Q186" s="110">
        <f>1.1923+I186</f>
        <v>4.83347</v>
      </c>
      <c r="R186" s="202">
        <f>IF(P186,(P186-Q186)/P186,"NB")</f>
        <v>0.7156782352941177</v>
      </c>
    </row>
    <row r="187" spans="1:18" ht="15">
      <c r="A187" s="276" t="s">
        <v>194</v>
      </c>
      <c r="B187" s="29" t="s">
        <v>178</v>
      </c>
      <c r="C187" s="32"/>
      <c r="D187" s="110">
        <v>73</v>
      </c>
      <c r="E187" s="110">
        <f>20+6</f>
        <v>26</v>
      </c>
      <c r="F187" s="196"/>
      <c r="G187" s="196"/>
      <c r="H187" s="329">
        <v>73</v>
      </c>
      <c r="I187" s="110">
        <f>9.47375+6</f>
        <v>15.47375</v>
      </c>
      <c r="J187" s="196">
        <f t="shared" si="8"/>
        <v>0.7880308219178082</v>
      </c>
      <c r="K187" s="110"/>
      <c r="L187" s="110">
        <v>73</v>
      </c>
      <c r="M187" s="110">
        <f>73+E187</f>
        <v>99</v>
      </c>
      <c r="N187" s="194"/>
      <c r="O187" s="194"/>
      <c r="P187" s="162">
        <f t="shared" si="9"/>
        <v>73</v>
      </c>
      <c r="Q187" s="110">
        <f>10.69905+I187</f>
        <v>26.172800000000002</v>
      </c>
      <c r="R187" s="202">
        <f>IF(P187,(P187-Q187)/P187,"NB")</f>
        <v>0.6414684931506849</v>
      </c>
    </row>
    <row r="188" spans="1:18" ht="15">
      <c r="A188" s="276" t="s">
        <v>195</v>
      </c>
      <c r="B188" s="29" t="s">
        <v>196</v>
      </c>
      <c r="C188" s="32"/>
      <c r="D188" s="110"/>
      <c r="E188" s="110"/>
      <c r="F188" s="196"/>
      <c r="G188" s="196"/>
      <c r="H188" s="329"/>
      <c r="I188" s="110">
        <v>0</v>
      </c>
      <c r="J188" s="196" t="str">
        <f t="shared" si="8"/>
        <v>NB</v>
      </c>
      <c r="K188" s="110"/>
      <c r="L188" s="110"/>
      <c r="M188" s="110"/>
      <c r="N188" s="194"/>
      <c r="O188" s="194"/>
      <c r="P188" s="162">
        <f t="shared" si="9"/>
        <v>0</v>
      </c>
      <c r="Q188" s="110"/>
      <c r="R188" s="202" t="str">
        <f>IF(P188,(P188-Q188)/P188,"NB")</f>
        <v>NB</v>
      </c>
    </row>
    <row r="189" spans="1:18" s="167" customFormat="1" ht="31.5">
      <c r="A189" s="275" t="s">
        <v>197</v>
      </c>
      <c r="B189" s="49" t="s">
        <v>198</v>
      </c>
      <c r="C189" s="183"/>
      <c r="D189" s="72"/>
      <c r="E189" s="72">
        <v>2</v>
      </c>
      <c r="F189" s="199"/>
      <c r="G189" s="199"/>
      <c r="H189" s="333">
        <v>60.5</v>
      </c>
      <c r="I189" s="72">
        <f>1.346+2.5</f>
        <v>3.846</v>
      </c>
      <c r="J189" s="199">
        <f t="shared" si="8"/>
        <v>0.9364297520661157</v>
      </c>
      <c r="K189" s="72"/>
      <c r="L189" s="72"/>
      <c r="M189" s="72">
        <v>2</v>
      </c>
      <c r="N189" s="198"/>
      <c r="O189" s="198"/>
      <c r="P189" s="134">
        <f t="shared" si="9"/>
        <v>60.5</v>
      </c>
      <c r="Q189" s="72">
        <f>3.84672+I189</f>
        <v>7.69272</v>
      </c>
      <c r="R189" s="202">
        <f>IF(P189,(P189-Q189)/P189,"NB")</f>
        <v>0.8728476033057851</v>
      </c>
    </row>
    <row r="190" spans="1:18" s="167" customFormat="1" ht="15.75">
      <c r="A190" s="275" t="s">
        <v>199</v>
      </c>
      <c r="B190" s="38" t="s">
        <v>762</v>
      </c>
      <c r="C190" s="183"/>
      <c r="D190" s="72"/>
      <c r="E190" s="72"/>
      <c r="F190" s="199"/>
      <c r="G190" s="199"/>
      <c r="H190" s="333">
        <f>SUM(H191:H193)</f>
        <v>18.95</v>
      </c>
      <c r="I190" s="145">
        <f>SUM(I191:I193)</f>
        <v>0.24605</v>
      </c>
      <c r="J190" s="199">
        <f t="shared" si="8"/>
        <v>0.9870158311345646</v>
      </c>
      <c r="K190" s="72"/>
      <c r="L190" s="72"/>
      <c r="M190" s="72"/>
      <c r="N190" s="198"/>
      <c r="O190" s="198"/>
      <c r="P190" s="134">
        <f t="shared" si="9"/>
        <v>18.95</v>
      </c>
      <c r="Q190" s="145">
        <f>SUM(Q191:Q193)</f>
        <v>4.119</v>
      </c>
      <c r="R190" s="145">
        <f>IF(P190,(P190-Q190)/P190,"NB")</f>
        <v>0.7826385224274406</v>
      </c>
    </row>
    <row r="191" spans="1:18" ht="33" customHeight="1">
      <c r="A191" s="276" t="s">
        <v>200</v>
      </c>
      <c r="B191" s="30" t="s">
        <v>201</v>
      </c>
      <c r="C191" s="32"/>
      <c r="D191" s="110"/>
      <c r="E191" s="110"/>
      <c r="F191" s="196"/>
      <c r="G191" s="196"/>
      <c r="H191" s="329"/>
      <c r="I191" s="110">
        <v>0</v>
      </c>
      <c r="J191" s="196" t="str">
        <f t="shared" si="8"/>
        <v>NB</v>
      </c>
      <c r="K191" s="110"/>
      <c r="L191" s="110"/>
      <c r="M191" s="110"/>
      <c r="N191" s="194"/>
      <c r="O191" s="194"/>
      <c r="P191" s="162">
        <f t="shared" si="9"/>
        <v>0</v>
      </c>
      <c r="Q191" s="110"/>
      <c r="R191" s="202" t="str">
        <f>IF(P191,(P191-Q191)/P191,"NB")</f>
        <v>NB</v>
      </c>
    </row>
    <row r="192" spans="1:18" ht="45">
      <c r="A192" s="276" t="s">
        <v>202</v>
      </c>
      <c r="B192" s="40" t="s">
        <v>203</v>
      </c>
      <c r="C192" s="32"/>
      <c r="D192" s="110">
        <v>4081</v>
      </c>
      <c r="E192" s="110">
        <f>52</f>
        <v>52</v>
      </c>
      <c r="F192" s="196"/>
      <c r="G192" s="196"/>
      <c r="H192" s="329">
        <v>18.95</v>
      </c>
      <c r="I192" s="110">
        <v>0.24605</v>
      </c>
      <c r="J192" s="196">
        <f t="shared" si="8"/>
        <v>0.9870158311345646</v>
      </c>
      <c r="K192" s="110"/>
      <c r="L192" s="110">
        <v>4081</v>
      </c>
      <c r="M192" s="110">
        <v>52</v>
      </c>
      <c r="N192" s="194"/>
      <c r="O192" s="194"/>
      <c r="P192" s="162">
        <f t="shared" si="9"/>
        <v>18.95</v>
      </c>
      <c r="Q192" s="110">
        <f>3.87295+I192</f>
        <v>4.119</v>
      </c>
      <c r="R192" s="202">
        <f>IF(P192,(P192-Q192)/P192,"NB")</f>
        <v>0.7826385224274406</v>
      </c>
    </row>
    <row r="193" spans="1:18" ht="15">
      <c r="A193" s="276" t="s">
        <v>204</v>
      </c>
      <c r="B193" s="40" t="s">
        <v>179</v>
      </c>
      <c r="C193" s="32"/>
      <c r="D193" s="110"/>
      <c r="E193" s="110"/>
      <c r="F193" s="196"/>
      <c r="G193" s="196"/>
      <c r="H193" s="329"/>
      <c r="I193" s="110">
        <v>0</v>
      </c>
      <c r="J193" s="196" t="str">
        <f t="shared" si="8"/>
        <v>NB</v>
      </c>
      <c r="K193" s="110"/>
      <c r="L193" s="110"/>
      <c r="M193" s="110"/>
      <c r="N193" s="194"/>
      <c r="O193" s="194"/>
      <c r="P193" s="162">
        <f t="shared" si="9"/>
        <v>0</v>
      </c>
      <c r="Q193" s="110"/>
      <c r="R193" s="202" t="str">
        <f>IF(P193,(P193-Q193)/P193,"NB")</f>
        <v>NB</v>
      </c>
    </row>
    <row r="194" spans="1:18" s="167" customFormat="1" ht="15.75">
      <c r="A194" s="275" t="s">
        <v>205</v>
      </c>
      <c r="B194" s="47" t="s">
        <v>206</v>
      </c>
      <c r="C194" s="183"/>
      <c r="D194" s="72"/>
      <c r="E194" s="72"/>
      <c r="F194" s="199"/>
      <c r="G194" s="199"/>
      <c r="H194" s="333">
        <f>H195+H196+H197</f>
        <v>407.52</v>
      </c>
      <c r="I194" s="145">
        <f>I195+I196+I197</f>
        <v>12.746</v>
      </c>
      <c r="J194" s="199">
        <f t="shared" si="8"/>
        <v>0.9687230074597566</v>
      </c>
      <c r="K194" s="72"/>
      <c r="L194" s="72"/>
      <c r="M194" s="72"/>
      <c r="N194" s="198"/>
      <c r="O194" s="198"/>
      <c r="P194" s="134">
        <f t="shared" si="9"/>
        <v>407.52</v>
      </c>
      <c r="Q194" s="145">
        <f>Q195+Q196+Q197</f>
        <v>115.98615</v>
      </c>
      <c r="R194" s="145">
        <f>IF(P194,(P194-Q194)/P194,"NB")</f>
        <v>0.7153853798586572</v>
      </c>
    </row>
    <row r="195" spans="1:18" ht="30">
      <c r="A195" s="70" t="s">
        <v>462</v>
      </c>
      <c r="B195" s="71" t="s">
        <v>436</v>
      </c>
      <c r="C195" s="32"/>
      <c r="D195" s="110">
        <v>99</v>
      </c>
      <c r="E195" s="110">
        <v>19</v>
      </c>
      <c r="F195" s="196"/>
      <c r="G195" s="196"/>
      <c r="H195" s="329">
        <f>3.18+12.72+273.6+90.9</f>
        <v>380.4</v>
      </c>
      <c r="I195" s="110">
        <v>11.05</v>
      </c>
      <c r="J195" s="196">
        <f t="shared" si="8"/>
        <v>0.9709516298633017</v>
      </c>
      <c r="K195" s="110"/>
      <c r="L195" s="110">
        <v>99</v>
      </c>
      <c r="M195" s="110">
        <f>99+E195</f>
        <v>118</v>
      </c>
      <c r="N195" s="194"/>
      <c r="O195" s="194"/>
      <c r="P195" s="162">
        <f t="shared" si="9"/>
        <v>380.4</v>
      </c>
      <c r="Q195" s="110">
        <f>88.148+I195</f>
        <v>99.198</v>
      </c>
      <c r="R195" s="202">
        <f>IF(P195,(P195-Q195)/P195,"NB")</f>
        <v>0.7392271293375394</v>
      </c>
    </row>
    <row r="196" spans="1:18" ht="30">
      <c r="A196" s="281" t="s">
        <v>459</v>
      </c>
      <c r="B196" s="30" t="s">
        <v>488</v>
      </c>
      <c r="C196" s="32"/>
      <c r="D196" s="110">
        <v>101</v>
      </c>
      <c r="E196" s="110">
        <v>4</v>
      </c>
      <c r="F196" s="196"/>
      <c r="G196" s="196"/>
      <c r="H196" s="329">
        <v>12.12</v>
      </c>
      <c r="I196" s="110">
        <v>1.696</v>
      </c>
      <c r="J196" s="196">
        <f t="shared" si="8"/>
        <v>0.8600660066006601</v>
      </c>
      <c r="K196" s="110"/>
      <c r="L196" s="110">
        <v>101</v>
      </c>
      <c r="M196" s="110">
        <f>67+E196</f>
        <v>71</v>
      </c>
      <c r="N196" s="194"/>
      <c r="O196" s="194"/>
      <c r="P196" s="162">
        <f t="shared" si="9"/>
        <v>12.12</v>
      </c>
      <c r="Q196" s="110">
        <f>11.015+I196</f>
        <v>12.711</v>
      </c>
      <c r="R196" s="202">
        <f>IF(P196,(P196-Q196)/P196,"NB")</f>
        <v>-0.048762376237623854</v>
      </c>
    </row>
    <row r="197" spans="1:18" ht="21" customHeight="1">
      <c r="A197" s="281" t="s">
        <v>460</v>
      </c>
      <c r="B197" s="30" t="s">
        <v>386</v>
      </c>
      <c r="C197" s="32"/>
      <c r="D197" s="110"/>
      <c r="E197" s="110"/>
      <c r="F197" s="196"/>
      <c r="G197" s="196"/>
      <c r="H197" s="329">
        <f>5+10</f>
        <v>15</v>
      </c>
      <c r="I197" s="110">
        <v>0</v>
      </c>
      <c r="J197" s="196">
        <f t="shared" si="8"/>
        <v>1</v>
      </c>
      <c r="K197" s="110"/>
      <c r="L197" s="110"/>
      <c r="M197" s="110"/>
      <c r="N197" s="194"/>
      <c r="O197" s="194"/>
      <c r="P197" s="162">
        <f t="shared" si="9"/>
        <v>15</v>
      </c>
      <c r="Q197" s="110">
        <v>4.07715</v>
      </c>
      <c r="R197" s="202">
        <f>IF(P197,(P197-Q197)/P197,"NB")</f>
        <v>0.72819</v>
      </c>
    </row>
    <row r="198" spans="1:18" s="167" customFormat="1" ht="15.75">
      <c r="A198" s="275" t="s">
        <v>207</v>
      </c>
      <c r="B198" s="38" t="s">
        <v>208</v>
      </c>
      <c r="C198" s="183"/>
      <c r="D198" s="72"/>
      <c r="E198" s="72"/>
      <c r="F198" s="199"/>
      <c r="G198" s="199"/>
      <c r="H198" s="333">
        <f>SUM(H199:H209)</f>
        <v>58.22</v>
      </c>
      <c r="I198" s="145">
        <f>SUM(I199:I209)</f>
        <v>0.32</v>
      </c>
      <c r="J198" s="199">
        <f t="shared" si="8"/>
        <v>0.9945036070079011</v>
      </c>
      <c r="K198" s="72"/>
      <c r="L198" s="72"/>
      <c r="M198" s="72"/>
      <c r="N198" s="198"/>
      <c r="O198" s="198"/>
      <c r="P198" s="134">
        <f t="shared" si="9"/>
        <v>58.22</v>
      </c>
      <c r="Q198" s="145">
        <f>SUM(Q199:Q209)</f>
        <v>17.19125</v>
      </c>
      <c r="R198" s="145">
        <f>IF(P198,(P198-Q198)/P198,"NB")</f>
        <v>0.70471916867056</v>
      </c>
    </row>
    <row r="199" spans="1:18" ht="31.5">
      <c r="A199" s="268" t="s">
        <v>327</v>
      </c>
      <c r="B199" s="35" t="s">
        <v>142</v>
      </c>
      <c r="C199" s="36"/>
      <c r="D199" s="109"/>
      <c r="E199" s="109"/>
      <c r="F199" s="196"/>
      <c r="G199" s="196"/>
      <c r="H199" s="336">
        <v>58.22</v>
      </c>
      <c r="I199" s="109"/>
      <c r="J199" s="196">
        <f t="shared" si="8"/>
        <v>1</v>
      </c>
      <c r="K199" s="109"/>
      <c r="L199" s="109"/>
      <c r="M199" s="109"/>
      <c r="N199" s="194"/>
      <c r="O199" s="194"/>
      <c r="P199" s="162">
        <f t="shared" si="9"/>
        <v>58.22</v>
      </c>
      <c r="Q199" s="109"/>
      <c r="R199" s="202">
        <f>IF(P199,(P199-Q199)/P199,"NB")</f>
        <v>1</v>
      </c>
    </row>
    <row r="200" spans="1:18" ht="20.25" customHeight="1">
      <c r="A200" s="268" t="s">
        <v>328</v>
      </c>
      <c r="B200" s="35" t="s">
        <v>143</v>
      </c>
      <c r="C200" s="36"/>
      <c r="D200" s="109"/>
      <c r="E200" s="109"/>
      <c r="F200" s="196"/>
      <c r="G200" s="196"/>
      <c r="H200" s="336"/>
      <c r="I200" s="109">
        <v>0</v>
      </c>
      <c r="J200" s="196" t="str">
        <f t="shared" si="8"/>
        <v>NB</v>
      </c>
      <c r="K200" s="109"/>
      <c r="L200" s="109"/>
      <c r="M200" s="109"/>
      <c r="N200" s="194"/>
      <c r="O200" s="194"/>
      <c r="P200" s="162">
        <f t="shared" si="9"/>
        <v>0</v>
      </c>
      <c r="Q200" s="109">
        <v>0.16</v>
      </c>
      <c r="R200" s="202" t="str">
        <f>IF(P200,(P200-Q200)/P200,"NB")</f>
        <v>NB</v>
      </c>
    </row>
    <row r="201" spans="1:18" ht="15.75">
      <c r="A201" s="268" t="s">
        <v>329</v>
      </c>
      <c r="B201" s="50" t="s">
        <v>144</v>
      </c>
      <c r="C201" s="37"/>
      <c r="D201" s="97"/>
      <c r="E201" s="97"/>
      <c r="F201" s="196"/>
      <c r="G201" s="196"/>
      <c r="H201" s="338"/>
      <c r="I201" s="97">
        <v>0</v>
      </c>
      <c r="J201" s="196" t="str">
        <f t="shared" si="8"/>
        <v>NB</v>
      </c>
      <c r="K201" s="97"/>
      <c r="L201" s="97"/>
      <c r="M201" s="97"/>
      <c r="N201" s="194"/>
      <c r="O201" s="194"/>
      <c r="P201" s="162">
        <f t="shared" si="9"/>
        <v>0</v>
      </c>
      <c r="Q201" s="97"/>
      <c r="R201" s="202" t="str">
        <f>IF(P201,(P201-Q201)/P201,"NB")</f>
        <v>NB</v>
      </c>
    </row>
    <row r="202" spans="1:18" ht="15">
      <c r="A202" s="268" t="s">
        <v>331</v>
      </c>
      <c r="B202" s="23" t="s">
        <v>145</v>
      </c>
      <c r="C202" s="36"/>
      <c r="D202" s="109"/>
      <c r="E202" s="109"/>
      <c r="F202" s="196"/>
      <c r="G202" s="196"/>
      <c r="H202" s="336"/>
      <c r="I202" s="109">
        <v>0</v>
      </c>
      <c r="J202" s="196" t="str">
        <f t="shared" si="8"/>
        <v>NB</v>
      </c>
      <c r="K202" s="109"/>
      <c r="L202" s="109"/>
      <c r="M202" s="109"/>
      <c r="N202" s="194"/>
      <c r="O202" s="194"/>
      <c r="P202" s="162">
        <f t="shared" si="9"/>
        <v>0</v>
      </c>
      <c r="Q202" s="109"/>
      <c r="R202" s="202" t="str">
        <f>IF(P202,(P202-Q202)/P202,"NB")</f>
        <v>NB</v>
      </c>
    </row>
    <row r="203" spans="1:18" ht="15">
      <c r="A203" s="268" t="s">
        <v>332</v>
      </c>
      <c r="B203" s="23" t="s">
        <v>146</v>
      </c>
      <c r="C203" s="36"/>
      <c r="D203" s="109"/>
      <c r="E203" s="109"/>
      <c r="F203" s="196"/>
      <c r="G203" s="196"/>
      <c r="H203" s="336"/>
      <c r="I203" s="109">
        <v>0</v>
      </c>
      <c r="J203" s="196" t="str">
        <f t="shared" si="8"/>
        <v>NB</v>
      </c>
      <c r="K203" s="109"/>
      <c r="L203" s="109"/>
      <c r="M203" s="109"/>
      <c r="N203" s="194"/>
      <c r="O203" s="194"/>
      <c r="P203" s="162">
        <f t="shared" si="9"/>
        <v>0</v>
      </c>
      <c r="Q203" s="109"/>
      <c r="R203" s="202" t="str">
        <f>IF(P203,(P203-Q203)/P203,"NB")</f>
        <v>NB</v>
      </c>
    </row>
    <row r="204" spans="1:18" s="8" customFormat="1" ht="15">
      <c r="A204" s="268" t="s">
        <v>333</v>
      </c>
      <c r="B204" s="23" t="s">
        <v>147</v>
      </c>
      <c r="C204" s="21"/>
      <c r="D204" s="107"/>
      <c r="E204" s="107"/>
      <c r="F204" s="196"/>
      <c r="G204" s="196"/>
      <c r="H204" s="324"/>
      <c r="I204" s="107">
        <v>0</v>
      </c>
      <c r="J204" s="196" t="str">
        <f t="shared" si="8"/>
        <v>NB</v>
      </c>
      <c r="K204" s="107"/>
      <c r="L204" s="107"/>
      <c r="M204" s="107"/>
      <c r="N204" s="194"/>
      <c r="O204" s="194"/>
      <c r="P204" s="162">
        <f t="shared" si="9"/>
        <v>0</v>
      </c>
      <c r="Q204" s="107"/>
      <c r="R204" s="202" t="str">
        <f>IF(P204,(P204-Q204)/P204,"NB")</f>
        <v>NB</v>
      </c>
    </row>
    <row r="205" spans="1:18" ht="15">
      <c r="A205" s="268" t="s">
        <v>334</v>
      </c>
      <c r="B205" s="23" t="s">
        <v>148</v>
      </c>
      <c r="C205" s="21"/>
      <c r="D205" s="107"/>
      <c r="E205" s="107"/>
      <c r="F205" s="196"/>
      <c r="G205" s="196"/>
      <c r="H205" s="324"/>
      <c r="I205" s="107">
        <v>0</v>
      </c>
      <c r="J205" s="196" t="str">
        <f t="shared" si="8"/>
        <v>NB</v>
      </c>
      <c r="K205" s="107"/>
      <c r="L205" s="107"/>
      <c r="M205" s="107"/>
      <c r="N205" s="194"/>
      <c r="O205" s="194"/>
      <c r="P205" s="162">
        <f t="shared" si="9"/>
        <v>0</v>
      </c>
      <c r="Q205" s="107"/>
      <c r="R205" s="202" t="str">
        <f>IF(P205,(P205-Q205)/P205,"NB")</f>
        <v>NB</v>
      </c>
    </row>
    <row r="206" spans="1:18" ht="15">
      <c r="A206" s="268" t="s">
        <v>380</v>
      </c>
      <c r="B206" s="23" t="s">
        <v>149</v>
      </c>
      <c r="C206" s="21"/>
      <c r="D206" s="107"/>
      <c r="E206" s="107"/>
      <c r="F206" s="196"/>
      <c r="G206" s="196"/>
      <c r="H206" s="324"/>
      <c r="I206" s="107"/>
      <c r="J206" s="196" t="str">
        <f t="shared" si="8"/>
        <v>NB</v>
      </c>
      <c r="K206" s="107"/>
      <c r="L206" s="107"/>
      <c r="M206" s="107"/>
      <c r="N206" s="194"/>
      <c r="O206" s="194"/>
      <c r="P206" s="162">
        <f t="shared" si="9"/>
        <v>0</v>
      </c>
      <c r="Q206" s="107">
        <v>0.65</v>
      </c>
      <c r="R206" s="202" t="str">
        <f>IF(P206,(P206-Q206)/P206,"NB")</f>
        <v>NB</v>
      </c>
    </row>
    <row r="207" spans="1:18" ht="15">
      <c r="A207" s="268" t="s">
        <v>574</v>
      </c>
      <c r="B207" s="40" t="s">
        <v>209</v>
      </c>
      <c r="C207" s="32"/>
      <c r="D207" s="110"/>
      <c r="E207" s="110"/>
      <c r="F207" s="196"/>
      <c r="G207" s="196"/>
      <c r="H207" s="329"/>
      <c r="I207" s="110"/>
      <c r="J207" s="196" t="str">
        <f t="shared" si="8"/>
        <v>NB</v>
      </c>
      <c r="K207" s="110"/>
      <c r="L207" s="110"/>
      <c r="M207" s="110"/>
      <c r="N207" s="194"/>
      <c r="O207" s="194"/>
      <c r="P207" s="162">
        <f t="shared" si="9"/>
        <v>0</v>
      </c>
      <c r="Q207" s="110">
        <v>5</v>
      </c>
      <c r="R207" s="202" t="str">
        <f>IF(P207,(P207-Q207)/P207,"NB")</f>
        <v>NB</v>
      </c>
    </row>
    <row r="208" spans="1:18" ht="20.25" customHeight="1">
      <c r="A208" s="268" t="s">
        <v>330</v>
      </c>
      <c r="B208" s="40" t="s">
        <v>210</v>
      </c>
      <c r="C208" s="32"/>
      <c r="D208" s="110"/>
      <c r="E208" s="110"/>
      <c r="F208" s="196"/>
      <c r="G208" s="196"/>
      <c r="H208" s="329"/>
      <c r="I208" s="110">
        <v>0</v>
      </c>
      <c r="J208" s="196" t="str">
        <f t="shared" si="8"/>
        <v>NB</v>
      </c>
      <c r="K208" s="110"/>
      <c r="L208" s="110"/>
      <c r="M208" s="110"/>
      <c r="N208" s="194"/>
      <c r="O208" s="194"/>
      <c r="P208" s="162">
        <f t="shared" si="9"/>
        <v>0</v>
      </c>
      <c r="Q208" s="110"/>
      <c r="R208" s="202" t="str">
        <f>IF(P208,(P208-Q208)/P208,"NB")</f>
        <v>NB</v>
      </c>
    </row>
    <row r="209" spans="1:18" ht="15">
      <c r="A209" s="268" t="s">
        <v>335</v>
      </c>
      <c r="B209" s="40" t="s">
        <v>211</v>
      </c>
      <c r="C209" s="32"/>
      <c r="D209" s="110"/>
      <c r="E209" s="110">
        <v>2</v>
      </c>
      <c r="F209" s="196"/>
      <c r="G209" s="196"/>
      <c r="H209" s="329"/>
      <c r="I209" s="110">
        <v>0.32</v>
      </c>
      <c r="J209" s="196" t="str">
        <f t="shared" si="8"/>
        <v>NB</v>
      </c>
      <c r="K209" s="110"/>
      <c r="L209" s="110"/>
      <c r="M209" s="110">
        <v>2</v>
      </c>
      <c r="N209" s="194"/>
      <c r="O209" s="194"/>
      <c r="P209" s="162">
        <f t="shared" si="9"/>
        <v>0</v>
      </c>
      <c r="Q209" s="110">
        <f>11.06125+I209</f>
        <v>11.38125</v>
      </c>
      <c r="R209" s="202" t="str">
        <f>IF(P209,(P209-Q209)/P209,"NB")</f>
        <v>NB</v>
      </c>
    </row>
    <row r="210" spans="1:18" s="167" customFormat="1" ht="31.5">
      <c r="A210" s="275" t="s">
        <v>212</v>
      </c>
      <c r="B210" s="43" t="s">
        <v>213</v>
      </c>
      <c r="C210" s="183"/>
      <c r="D210" s="72" t="s">
        <v>1024</v>
      </c>
      <c r="E210" s="72">
        <f>21+1</f>
        <v>22</v>
      </c>
      <c r="F210" s="199"/>
      <c r="G210" s="199"/>
      <c r="H210" s="333">
        <v>180.54</v>
      </c>
      <c r="I210" s="72">
        <f>9.1466+0.23962</f>
        <v>9.38622</v>
      </c>
      <c r="J210" s="199">
        <f t="shared" si="8"/>
        <v>0.9480103024260551</v>
      </c>
      <c r="K210" s="72"/>
      <c r="L210" s="72" t="s">
        <v>1024</v>
      </c>
      <c r="M210" s="72">
        <v>21</v>
      </c>
      <c r="N210" s="198"/>
      <c r="O210" s="198"/>
      <c r="P210" s="134">
        <f t="shared" si="9"/>
        <v>180.54</v>
      </c>
      <c r="Q210" s="72">
        <f>63.0904+I210</f>
        <v>72.47662</v>
      </c>
      <c r="R210" s="72">
        <f>IF(P210,(P210-Q210)/P210,"NB")</f>
        <v>0.5985564417857538</v>
      </c>
    </row>
    <row r="211" spans="1:18" s="167" customFormat="1" ht="15.75">
      <c r="A211" s="275" t="s">
        <v>214</v>
      </c>
      <c r="B211" s="38" t="s">
        <v>40</v>
      </c>
      <c r="C211" s="183"/>
      <c r="D211" s="72"/>
      <c r="E211" s="72"/>
      <c r="F211" s="199"/>
      <c r="G211" s="199"/>
      <c r="H211" s="333">
        <f>SUM(H212:H213)</f>
        <v>223.5</v>
      </c>
      <c r="I211" s="145">
        <f>SUM(I212:I213)</f>
        <v>2.7</v>
      </c>
      <c r="J211" s="199">
        <f t="shared" si="8"/>
        <v>0.9879194630872484</v>
      </c>
      <c r="K211" s="72"/>
      <c r="L211" s="72"/>
      <c r="M211" s="72"/>
      <c r="N211" s="198"/>
      <c r="O211" s="198"/>
      <c r="P211" s="134">
        <f t="shared" si="9"/>
        <v>223.5</v>
      </c>
      <c r="Q211" s="145">
        <f>SUM(Q212:Q213)</f>
        <v>5.35999</v>
      </c>
      <c r="R211" s="145">
        <f>IF(P211,(P211-Q211)/P211,"NB")</f>
        <v>0.9760179418344519</v>
      </c>
    </row>
    <row r="212" spans="1:18" ht="15">
      <c r="A212" s="276" t="s">
        <v>215</v>
      </c>
      <c r="B212" s="29" t="s">
        <v>336</v>
      </c>
      <c r="C212" s="32"/>
      <c r="D212" s="110"/>
      <c r="E212" s="110"/>
      <c r="F212" s="196"/>
      <c r="G212" s="196"/>
      <c r="H212" s="329">
        <v>223.5</v>
      </c>
      <c r="I212" s="110"/>
      <c r="J212" s="196">
        <f>IF(H212,(H212-I212)/H212,"NB")</f>
        <v>1</v>
      </c>
      <c r="K212" s="110"/>
      <c r="L212" s="110"/>
      <c r="M212" s="110"/>
      <c r="N212" s="194"/>
      <c r="O212" s="194"/>
      <c r="P212" s="162">
        <f t="shared" si="9"/>
        <v>223.5</v>
      </c>
      <c r="Q212" s="110"/>
      <c r="R212" s="202">
        <f>IF(P212,(P212-Q212)/P212,"NB")</f>
        <v>1</v>
      </c>
    </row>
    <row r="213" spans="1:18" ht="15">
      <c r="A213" s="276" t="s">
        <v>216</v>
      </c>
      <c r="B213" s="29" t="s">
        <v>217</v>
      </c>
      <c r="C213" s="32"/>
      <c r="D213" s="110"/>
      <c r="E213" s="110"/>
      <c r="F213" s="196"/>
      <c r="G213" s="196"/>
      <c r="H213" s="329"/>
      <c r="I213" s="110">
        <v>2.7</v>
      </c>
      <c r="J213" s="196" t="str">
        <f>IF(H213,(H213-I213)/H213,"NB")</f>
        <v>NB</v>
      </c>
      <c r="K213" s="110"/>
      <c r="L213" s="110"/>
      <c r="M213" s="110"/>
      <c r="N213" s="194"/>
      <c r="O213" s="194"/>
      <c r="P213" s="162">
        <f t="shared" si="9"/>
        <v>0</v>
      </c>
      <c r="Q213" s="110">
        <f>2.65999+I213</f>
        <v>5.35999</v>
      </c>
      <c r="R213" s="202" t="str">
        <f>IF(P213,(P213-Q213)/P213,"NB")</f>
        <v>NB</v>
      </c>
    </row>
    <row r="214" spans="1:18" s="167" customFormat="1" ht="15.75">
      <c r="A214" s="275" t="s">
        <v>490</v>
      </c>
      <c r="B214" s="51" t="s">
        <v>220</v>
      </c>
      <c r="C214" s="183"/>
      <c r="D214" s="72"/>
      <c r="E214" s="72"/>
      <c r="F214" s="199"/>
      <c r="G214" s="199"/>
      <c r="H214" s="333">
        <f>SUM(H215:H217)</f>
        <v>95.22</v>
      </c>
      <c r="I214" s="145">
        <f>SUM(I215:I217)</f>
        <v>1.3</v>
      </c>
      <c r="J214" s="199">
        <f>IF(H214,(H214-I214)/H214,"NB")</f>
        <v>0.9863474060071414</v>
      </c>
      <c r="K214" s="72"/>
      <c r="L214" s="72"/>
      <c r="M214" s="72"/>
      <c r="N214" s="198"/>
      <c r="O214" s="198"/>
      <c r="P214" s="134">
        <f t="shared" si="9"/>
        <v>95.22</v>
      </c>
      <c r="Q214" s="145">
        <f>SUM(Q215:Q217)</f>
        <v>1.3</v>
      </c>
      <c r="R214" s="145">
        <f>IF(P214,(P214-Q214)/P214,"NB")</f>
        <v>0.9863474060071414</v>
      </c>
    </row>
    <row r="215" spans="1:18" ht="32.25" customHeight="1">
      <c r="A215" s="281" t="s">
        <v>491</v>
      </c>
      <c r="B215" s="30" t="s">
        <v>222</v>
      </c>
      <c r="C215" s="32"/>
      <c r="D215" s="110"/>
      <c r="E215" s="110"/>
      <c r="F215" s="196"/>
      <c r="G215" s="196"/>
      <c r="H215" s="329"/>
      <c r="I215" s="110">
        <v>1.3</v>
      </c>
      <c r="J215" s="196" t="s">
        <v>809</v>
      </c>
      <c r="K215" s="110"/>
      <c r="L215" s="110"/>
      <c r="M215" s="110"/>
      <c r="N215" s="194"/>
      <c r="O215" s="194"/>
      <c r="P215" s="162">
        <f t="shared" si="9"/>
        <v>0</v>
      </c>
      <c r="Q215" s="110">
        <f>I215</f>
        <v>1.3</v>
      </c>
      <c r="R215" s="110" t="s">
        <v>809</v>
      </c>
    </row>
    <row r="216" spans="1:18" ht="15">
      <c r="A216" s="281" t="s">
        <v>492</v>
      </c>
      <c r="B216" s="20" t="s">
        <v>107</v>
      </c>
      <c r="C216" s="36"/>
      <c r="D216" s="109">
        <v>4</v>
      </c>
      <c r="E216" s="109">
        <v>4</v>
      </c>
      <c r="F216" s="196"/>
      <c r="G216" s="196"/>
      <c r="H216" s="336">
        <f>7.2+88.02</f>
        <v>95.22</v>
      </c>
      <c r="I216" s="109"/>
      <c r="J216" s="196">
        <f aca="true" t="shared" si="10" ref="J216:J247">IF(H216,(H216-I216)/H216,"NB")</f>
        <v>1</v>
      </c>
      <c r="K216" s="109"/>
      <c r="L216" s="109">
        <v>4</v>
      </c>
      <c r="M216" s="109">
        <v>4</v>
      </c>
      <c r="N216" s="194"/>
      <c r="O216" s="194"/>
      <c r="P216" s="162">
        <f t="shared" si="9"/>
        <v>95.22</v>
      </c>
      <c r="Q216" s="109"/>
      <c r="R216" s="109">
        <f>IF(P216,(P216-Q216)/P216,"NB")</f>
        <v>1</v>
      </c>
    </row>
    <row r="217" spans="1:18" ht="15">
      <c r="A217" s="281" t="s">
        <v>493</v>
      </c>
      <c r="B217" s="20" t="s">
        <v>363</v>
      </c>
      <c r="C217" s="36"/>
      <c r="D217" s="109"/>
      <c r="E217" s="109"/>
      <c r="F217" s="196"/>
      <c r="G217" s="196"/>
      <c r="H217" s="336"/>
      <c r="I217" s="109"/>
      <c r="J217" s="196" t="str">
        <f t="shared" si="10"/>
        <v>NB</v>
      </c>
      <c r="K217" s="109"/>
      <c r="L217" s="109"/>
      <c r="M217" s="109"/>
      <c r="N217" s="194"/>
      <c r="O217" s="194"/>
      <c r="P217" s="162">
        <f t="shared" si="9"/>
        <v>0</v>
      </c>
      <c r="Q217" s="109"/>
      <c r="R217" s="109" t="str">
        <f>IF(P217,(P217-Q217)/P217,"NB")</f>
        <v>NB</v>
      </c>
    </row>
    <row r="218" spans="1:18" s="167" customFormat="1" ht="15.75">
      <c r="A218" s="275" t="s">
        <v>218</v>
      </c>
      <c r="B218" s="51" t="s">
        <v>494</v>
      </c>
      <c r="C218" s="183"/>
      <c r="D218" s="72"/>
      <c r="E218" s="72"/>
      <c r="F218" s="199"/>
      <c r="G218" s="199"/>
      <c r="H218" s="333"/>
      <c r="I218" s="72"/>
      <c r="J218" s="199" t="str">
        <f t="shared" si="10"/>
        <v>NB</v>
      </c>
      <c r="K218" s="72"/>
      <c r="L218" s="72"/>
      <c r="M218" s="72"/>
      <c r="N218" s="198"/>
      <c r="O218" s="198"/>
      <c r="P218" s="134">
        <f t="shared" si="9"/>
        <v>0</v>
      </c>
      <c r="Q218" s="72"/>
      <c r="R218" s="72" t="str">
        <f>IF(P218,(P218-Q218)/P218,"NB")</f>
        <v>NB</v>
      </c>
    </row>
    <row r="219" spans="1:18" s="167" customFormat="1" ht="31.5">
      <c r="A219" s="275" t="s">
        <v>219</v>
      </c>
      <c r="B219" s="51" t="s">
        <v>227</v>
      </c>
      <c r="C219" s="183"/>
      <c r="D219" s="72"/>
      <c r="E219" s="72"/>
      <c r="F219" s="199"/>
      <c r="G219" s="199"/>
      <c r="H219" s="333">
        <f>+H220+H225+H226</f>
        <v>92.99000000000001</v>
      </c>
      <c r="I219" s="145">
        <f>+I220+I225+I226</f>
        <v>6.65705</v>
      </c>
      <c r="J219" s="145">
        <f t="shared" si="10"/>
        <v>0.9284111194752124</v>
      </c>
      <c r="K219" s="72"/>
      <c r="L219" s="72"/>
      <c r="M219" s="72"/>
      <c r="N219" s="198"/>
      <c r="O219" s="198"/>
      <c r="P219" s="134">
        <f t="shared" si="9"/>
        <v>92.99000000000001</v>
      </c>
      <c r="Q219" s="145">
        <f>+Q220+Q225+Q226</f>
        <v>45.338080000000005</v>
      </c>
      <c r="R219" s="145">
        <f>IF(P219,(P219-Q219)/P219,"NB")</f>
        <v>0.5124413377782557</v>
      </c>
    </row>
    <row r="220" spans="1:18" s="185" customFormat="1" ht="31.5">
      <c r="A220" s="275" t="s">
        <v>221</v>
      </c>
      <c r="B220" s="51" t="s">
        <v>228</v>
      </c>
      <c r="C220" s="183"/>
      <c r="D220" s="72"/>
      <c r="E220" s="72"/>
      <c r="F220" s="199"/>
      <c r="G220" s="199"/>
      <c r="H220" s="333">
        <f>SUM(H221:H224)</f>
        <v>0</v>
      </c>
      <c r="I220" s="145">
        <f>SUM(I221:I224)</f>
        <v>0.491</v>
      </c>
      <c r="J220" s="145" t="str">
        <f t="shared" si="10"/>
        <v>NB</v>
      </c>
      <c r="K220" s="72"/>
      <c r="L220" s="72"/>
      <c r="M220" s="72"/>
      <c r="N220" s="198"/>
      <c r="O220" s="198"/>
      <c r="P220" s="134">
        <f t="shared" si="9"/>
        <v>0</v>
      </c>
      <c r="Q220" s="145">
        <f>SUM(Q221:Q224)</f>
        <v>5.2909999999999995</v>
      </c>
      <c r="R220" s="145" t="str">
        <f>IF(P220,(P220-Q220)/P220,"NB")</f>
        <v>NB</v>
      </c>
    </row>
    <row r="221" spans="1:18" ht="15">
      <c r="A221" s="281" t="s">
        <v>338</v>
      </c>
      <c r="B221" s="40" t="s">
        <v>229</v>
      </c>
      <c r="C221" s="32"/>
      <c r="D221" s="110"/>
      <c r="E221" s="110"/>
      <c r="F221" s="196"/>
      <c r="G221" s="196"/>
      <c r="H221" s="329"/>
      <c r="I221" s="110">
        <v>0</v>
      </c>
      <c r="J221" s="196" t="str">
        <f t="shared" si="10"/>
        <v>NB</v>
      </c>
      <c r="K221" s="110"/>
      <c r="L221" s="110"/>
      <c r="M221" s="110"/>
      <c r="N221" s="194"/>
      <c r="O221" s="194"/>
      <c r="P221" s="162">
        <f t="shared" si="9"/>
        <v>0</v>
      </c>
      <c r="Q221" s="110">
        <v>1.015</v>
      </c>
      <c r="R221" s="110" t="str">
        <f>IF(P221,(P221-Q221)/P221,"NB")</f>
        <v>NB</v>
      </c>
    </row>
    <row r="222" spans="1:18" ht="15">
      <c r="A222" s="281" t="s">
        <v>339</v>
      </c>
      <c r="B222" s="40" t="s">
        <v>230</v>
      </c>
      <c r="C222" s="32"/>
      <c r="D222" s="110"/>
      <c r="E222" s="110"/>
      <c r="F222" s="196"/>
      <c r="G222" s="196"/>
      <c r="H222" s="329"/>
      <c r="I222" s="110">
        <v>0</v>
      </c>
      <c r="J222" s="196" t="str">
        <f t="shared" si="10"/>
        <v>NB</v>
      </c>
      <c r="K222" s="110"/>
      <c r="L222" s="110"/>
      <c r="M222" s="110"/>
      <c r="N222" s="194"/>
      <c r="O222" s="194"/>
      <c r="P222" s="162">
        <f t="shared" si="9"/>
        <v>0</v>
      </c>
      <c r="Q222" s="110">
        <v>2.52</v>
      </c>
      <c r="R222" s="110" t="str">
        <f>IF(P222,(P222-Q222)/P222,"NB")</f>
        <v>NB</v>
      </c>
    </row>
    <row r="223" spans="1:18" ht="15">
      <c r="A223" s="281" t="s">
        <v>340</v>
      </c>
      <c r="B223" s="40" t="s">
        <v>231</v>
      </c>
      <c r="C223" s="32"/>
      <c r="D223" s="110"/>
      <c r="E223" s="110"/>
      <c r="F223" s="196"/>
      <c r="G223" s="196"/>
      <c r="H223" s="329"/>
      <c r="I223" s="110">
        <v>0.491</v>
      </c>
      <c r="J223" s="196" t="str">
        <f t="shared" si="10"/>
        <v>NB</v>
      </c>
      <c r="K223" s="110"/>
      <c r="L223" s="110"/>
      <c r="M223" s="110"/>
      <c r="N223" s="194"/>
      <c r="O223" s="194"/>
      <c r="P223" s="162">
        <f t="shared" si="9"/>
        <v>0</v>
      </c>
      <c r="Q223" s="110">
        <f>0.25+I223</f>
        <v>0.741</v>
      </c>
      <c r="R223" s="110" t="str">
        <f>IF(P223,(P223-Q223)/P223,"NB")</f>
        <v>NB</v>
      </c>
    </row>
    <row r="224" spans="1:18" ht="15">
      <c r="A224" s="281" t="s">
        <v>341</v>
      </c>
      <c r="B224" s="40" t="s">
        <v>232</v>
      </c>
      <c r="C224" s="32"/>
      <c r="D224" s="110"/>
      <c r="E224" s="110"/>
      <c r="F224" s="196"/>
      <c r="G224" s="196"/>
      <c r="H224" s="329"/>
      <c r="I224" s="110">
        <v>0</v>
      </c>
      <c r="J224" s="196" t="str">
        <f t="shared" si="10"/>
        <v>NB</v>
      </c>
      <c r="K224" s="110"/>
      <c r="L224" s="110"/>
      <c r="M224" s="110"/>
      <c r="N224" s="194"/>
      <c r="O224" s="194"/>
      <c r="P224" s="162">
        <f t="shared" si="9"/>
        <v>0</v>
      </c>
      <c r="Q224" s="110">
        <v>1.015</v>
      </c>
      <c r="R224" s="110" t="str">
        <f>IF(P224,(P224-Q224)/P224,"NB")</f>
        <v>NB</v>
      </c>
    </row>
    <row r="225" spans="1:18" ht="15.75">
      <c r="A225" s="282" t="s">
        <v>223</v>
      </c>
      <c r="B225" s="52" t="s">
        <v>233</v>
      </c>
      <c r="C225" s="32"/>
      <c r="D225" s="110"/>
      <c r="E225" s="110"/>
      <c r="F225" s="196"/>
      <c r="G225" s="196"/>
      <c r="H225" s="329"/>
      <c r="I225" s="110">
        <v>2.3</v>
      </c>
      <c r="J225" s="196" t="str">
        <f t="shared" si="10"/>
        <v>NB</v>
      </c>
      <c r="K225" s="110"/>
      <c r="L225" s="110"/>
      <c r="M225" s="110"/>
      <c r="N225" s="194"/>
      <c r="O225" s="194"/>
      <c r="P225" s="162">
        <f t="shared" si="9"/>
        <v>0</v>
      </c>
      <c r="Q225" s="110">
        <f>5.2+I225</f>
        <v>7.5</v>
      </c>
      <c r="R225" s="110" t="str">
        <f>IF(P225,(P225-Q225)/P225,"NB")</f>
        <v>NB</v>
      </c>
    </row>
    <row r="226" spans="1:18" ht="15.75">
      <c r="A226" s="63" t="s">
        <v>342</v>
      </c>
      <c r="B226" s="52" t="s">
        <v>234</v>
      </c>
      <c r="C226" s="32"/>
      <c r="D226" s="110"/>
      <c r="E226" s="110">
        <f>SUM(E227:E229)</f>
        <v>77</v>
      </c>
      <c r="F226" s="196"/>
      <c r="G226" s="196"/>
      <c r="H226" s="329">
        <f>SUM(H227:H229)</f>
        <v>92.99000000000001</v>
      </c>
      <c r="I226" s="133">
        <f>SUM(I227:I229)</f>
        <v>3.86605</v>
      </c>
      <c r="J226" s="196">
        <f t="shared" si="10"/>
        <v>0.9584250994730616</v>
      </c>
      <c r="K226" s="110"/>
      <c r="L226" s="110"/>
      <c r="M226" s="110">
        <f>SUM(M227:M229)</f>
        <v>77</v>
      </c>
      <c r="N226" s="194"/>
      <c r="O226" s="194"/>
      <c r="P226" s="162">
        <f t="shared" si="9"/>
        <v>92.99000000000001</v>
      </c>
      <c r="Q226" s="136">
        <f>SUM(Q227:Q229)</f>
        <v>32.54708</v>
      </c>
      <c r="R226" s="136">
        <f>IF(P226,(P226-Q226)/P226,"NB")</f>
        <v>0.6499937627701904</v>
      </c>
    </row>
    <row r="227" spans="1:18" ht="15">
      <c r="A227" s="283" t="s">
        <v>343</v>
      </c>
      <c r="B227" s="31" t="s">
        <v>466</v>
      </c>
      <c r="C227" s="21"/>
      <c r="D227" s="107"/>
      <c r="E227" s="107">
        <v>72</v>
      </c>
      <c r="F227" s="196"/>
      <c r="G227" s="196"/>
      <c r="H227" s="324">
        <f>21.3+1+3.6+14.4+1.2+5.4+12.96</f>
        <v>59.86000000000001</v>
      </c>
      <c r="I227" s="107">
        <v>2.7417</v>
      </c>
      <c r="J227" s="196">
        <f t="shared" si="10"/>
        <v>0.954198128967591</v>
      </c>
      <c r="K227" s="107"/>
      <c r="L227" s="107"/>
      <c r="M227" s="107">
        <v>72</v>
      </c>
      <c r="N227" s="194"/>
      <c r="O227" s="194"/>
      <c r="P227" s="162">
        <f t="shared" si="9"/>
        <v>59.86000000000001</v>
      </c>
      <c r="Q227" s="107">
        <f>18.2594+I227</f>
        <v>21.0011</v>
      </c>
      <c r="R227" s="107">
        <f>IF(P227,(P227-Q227)/P227,"NB")</f>
        <v>0.6491630471099232</v>
      </c>
    </row>
    <row r="228" spans="1:18" ht="30">
      <c r="A228" s="283" t="s">
        <v>344</v>
      </c>
      <c r="B228" s="40" t="s">
        <v>235</v>
      </c>
      <c r="C228" s="32"/>
      <c r="D228" s="110"/>
      <c r="E228" s="110">
        <v>5</v>
      </c>
      <c r="F228" s="196"/>
      <c r="G228" s="196"/>
      <c r="H228" s="329">
        <f>7.18+16+5</f>
        <v>28.18</v>
      </c>
      <c r="I228" s="110">
        <f>0.57735+0.528</f>
        <v>1.10535</v>
      </c>
      <c r="J228" s="196">
        <f t="shared" si="10"/>
        <v>0.9607753726046842</v>
      </c>
      <c r="K228" s="110"/>
      <c r="L228" s="110"/>
      <c r="M228" s="110">
        <v>5</v>
      </c>
      <c r="N228" s="194"/>
      <c r="O228" s="194"/>
      <c r="P228" s="162">
        <f t="shared" si="9"/>
        <v>28.18</v>
      </c>
      <c r="Q228" s="110">
        <f>3.24999+I228</f>
        <v>4.35534</v>
      </c>
      <c r="R228" s="110">
        <f>IF(P228,(P228-Q228)/P228,"NB")</f>
        <v>0.8454457061745919</v>
      </c>
    </row>
    <row r="229" spans="1:18" ht="15">
      <c r="A229" s="283" t="s">
        <v>345</v>
      </c>
      <c r="B229" s="40" t="s">
        <v>548</v>
      </c>
      <c r="C229" s="32"/>
      <c r="D229" s="110"/>
      <c r="E229" s="110"/>
      <c r="F229" s="196"/>
      <c r="G229" s="196"/>
      <c r="H229" s="329">
        <f>0.45+4.5</f>
        <v>4.95</v>
      </c>
      <c r="I229" s="110">
        <v>0.019</v>
      </c>
      <c r="J229" s="196">
        <f t="shared" si="10"/>
        <v>0.9961616161616161</v>
      </c>
      <c r="K229" s="110"/>
      <c r="L229" s="110"/>
      <c r="M229" s="110"/>
      <c r="N229" s="194"/>
      <c r="O229" s="194"/>
      <c r="P229" s="162">
        <f t="shared" si="9"/>
        <v>4.95</v>
      </c>
      <c r="Q229" s="110">
        <f>7.17164+I229</f>
        <v>7.19064</v>
      </c>
      <c r="R229" s="110">
        <f>IF(P229,(P229-Q229)/P229,"NB")</f>
        <v>-0.4526545454545454</v>
      </c>
    </row>
    <row r="230" spans="1:18" s="167" customFormat="1" ht="15.75">
      <c r="A230" s="177" t="s">
        <v>346</v>
      </c>
      <c r="B230" s="11" t="s">
        <v>150</v>
      </c>
      <c r="C230" s="116"/>
      <c r="D230" s="168"/>
      <c r="E230" s="168"/>
      <c r="F230" s="199"/>
      <c r="G230" s="199"/>
      <c r="H230" s="314">
        <f>+H231+H237</f>
        <v>436.56000000000006</v>
      </c>
      <c r="I230" s="168">
        <f>+I231+I237</f>
        <v>0</v>
      </c>
      <c r="J230" s="168">
        <f t="shared" si="10"/>
        <v>1</v>
      </c>
      <c r="K230" s="101"/>
      <c r="L230" s="168"/>
      <c r="M230" s="168"/>
      <c r="N230" s="198"/>
      <c r="O230" s="198"/>
      <c r="P230" s="134">
        <f t="shared" si="9"/>
        <v>436.56000000000006</v>
      </c>
      <c r="Q230" s="168">
        <f>+Q231+Q237</f>
        <v>186.98192</v>
      </c>
      <c r="R230" s="168">
        <f>IF(P230,(P230-Q230)/P230,"NB")</f>
        <v>0.571692505039399</v>
      </c>
    </row>
    <row r="231" spans="1:18" ht="15.75">
      <c r="A231" s="272" t="s">
        <v>225</v>
      </c>
      <c r="B231" s="50" t="s">
        <v>151</v>
      </c>
      <c r="C231" s="37"/>
      <c r="D231" s="222"/>
      <c r="E231" s="222"/>
      <c r="F231" s="196"/>
      <c r="G231" s="196"/>
      <c r="H231" s="338">
        <f>SUM(H232:H236)</f>
        <v>134.61</v>
      </c>
      <c r="I231" s="135"/>
      <c r="J231" s="209">
        <f t="shared" si="10"/>
        <v>1</v>
      </c>
      <c r="K231" s="97"/>
      <c r="L231" s="223"/>
      <c r="M231" s="223"/>
      <c r="N231" s="194"/>
      <c r="O231" s="194"/>
      <c r="P231" s="163">
        <f t="shared" si="9"/>
        <v>134.61</v>
      </c>
      <c r="Q231" s="135">
        <f>SUM(Q232:Q236)</f>
        <v>186.98192</v>
      </c>
      <c r="R231" s="135">
        <f>IF(P231,(P231-Q231)/P231,"NB")</f>
        <v>-0.38906411113587386</v>
      </c>
    </row>
    <row r="232" spans="1:18" ht="15">
      <c r="A232" s="271" t="s">
        <v>347</v>
      </c>
      <c r="B232" s="53" t="s">
        <v>152</v>
      </c>
      <c r="C232" s="37"/>
      <c r="D232" s="97"/>
      <c r="E232" s="97"/>
      <c r="F232" s="196"/>
      <c r="G232" s="196"/>
      <c r="H232" s="338">
        <f>27.05+1.15+3+8</f>
        <v>39.2</v>
      </c>
      <c r="I232" s="97"/>
      <c r="J232" s="196">
        <f t="shared" si="10"/>
        <v>1</v>
      </c>
      <c r="K232" s="97"/>
      <c r="L232" s="97"/>
      <c r="M232" s="97"/>
      <c r="N232" s="194"/>
      <c r="O232" s="194"/>
      <c r="P232" s="162">
        <f t="shared" si="9"/>
        <v>39.2</v>
      </c>
      <c r="Q232" s="97"/>
      <c r="R232" s="97">
        <f>IF(P232,(P232-Q232)/P232,"NB")</f>
        <v>1</v>
      </c>
    </row>
    <row r="233" spans="1:18" ht="15">
      <c r="A233" s="271" t="s">
        <v>348</v>
      </c>
      <c r="B233" s="53" t="s">
        <v>153</v>
      </c>
      <c r="C233" s="37"/>
      <c r="D233" s="97"/>
      <c r="E233" s="97"/>
      <c r="F233" s="196"/>
      <c r="G233" s="196"/>
      <c r="H233" s="338"/>
      <c r="I233" s="97"/>
      <c r="J233" s="196" t="str">
        <f t="shared" si="10"/>
        <v>NB</v>
      </c>
      <c r="K233" s="97"/>
      <c r="L233" s="97"/>
      <c r="M233" s="97"/>
      <c r="N233" s="194"/>
      <c r="O233" s="194"/>
      <c r="P233" s="162">
        <f t="shared" si="9"/>
        <v>0</v>
      </c>
      <c r="Q233" s="97"/>
      <c r="R233" s="97" t="str">
        <f>IF(P233,(P233-Q233)/P233,"NB")</f>
        <v>NB</v>
      </c>
    </row>
    <row r="234" spans="1:18" ht="15.75">
      <c r="A234" s="271" t="s">
        <v>349</v>
      </c>
      <c r="B234" s="53" t="s">
        <v>154</v>
      </c>
      <c r="C234" s="54"/>
      <c r="D234" s="98"/>
      <c r="E234" s="98"/>
      <c r="F234" s="196"/>
      <c r="G234" s="196"/>
      <c r="H234" s="328">
        <f>0.06+1.4+3</f>
        <v>4.46</v>
      </c>
      <c r="I234" s="98"/>
      <c r="J234" s="196">
        <f t="shared" si="10"/>
        <v>1</v>
      </c>
      <c r="K234" s="98"/>
      <c r="L234" s="98"/>
      <c r="M234" s="98"/>
      <c r="N234" s="194"/>
      <c r="O234" s="194"/>
      <c r="P234" s="162">
        <f t="shared" si="9"/>
        <v>4.46</v>
      </c>
      <c r="Q234" s="98"/>
      <c r="R234" s="98">
        <f>IF(P234,(P234-Q234)/P234,"NB")</f>
        <v>1</v>
      </c>
    </row>
    <row r="235" spans="1:18" ht="15">
      <c r="A235" s="271" t="s">
        <v>350</v>
      </c>
      <c r="B235" s="53" t="s">
        <v>155</v>
      </c>
      <c r="C235" s="55"/>
      <c r="D235" s="99"/>
      <c r="E235" s="99"/>
      <c r="F235" s="196"/>
      <c r="G235" s="196"/>
      <c r="H235" s="339"/>
      <c r="I235" s="99"/>
      <c r="J235" s="196" t="str">
        <f t="shared" si="10"/>
        <v>NB</v>
      </c>
      <c r="K235" s="99"/>
      <c r="L235" s="99"/>
      <c r="M235" s="99"/>
      <c r="N235" s="194"/>
      <c r="O235" s="194"/>
      <c r="P235" s="162">
        <f t="shared" si="9"/>
        <v>0</v>
      </c>
      <c r="Q235" s="99"/>
      <c r="R235" s="99" t="str">
        <f>IF(P235,(P235-Q235)/P235,"NB")</f>
        <v>NB</v>
      </c>
    </row>
    <row r="236" spans="1:18" ht="15">
      <c r="A236" s="271" t="s">
        <v>351</v>
      </c>
      <c r="B236" s="53" t="s">
        <v>337</v>
      </c>
      <c r="C236" s="55"/>
      <c r="D236" s="99"/>
      <c r="E236" s="99"/>
      <c r="F236" s="196"/>
      <c r="G236" s="196"/>
      <c r="H236" s="339">
        <v>90.95</v>
      </c>
      <c r="I236" s="99"/>
      <c r="J236" s="196">
        <f t="shared" si="10"/>
        <v>1</v>
      </c>
      <c r="K236" s="99"/>
      <c r="L236" s="99"/>
      <c r="M236" s="99"/>
      <c r="N236" s="194"/>
      <c r="O236" s="194"/>
      <c r="P236" s="162">
        <f t="shared" si="9"/>
        <v>90.95</v>
      </c>
      <c r="Q236" s="99">
        <v>186.98192</v>
      </c>
      <c r="R236" s="99">
        <f>IF(P236,(P236-Q236)/P236,"NB")</f>
        <v>-1.055875975810885</v>
      </c>
    </row>
    <row r="237" spans="1:18" s="176" customFormat="1" ht="15.75">
      <c r="A237" s="273" t="s">
        <v>352</v>
      </c>
      <c r="B237" s="246" t="s">
        <v>423</v>
      </c>
      <c r="C237" s="199"/>
      <c r="D237" s="224"/>
      <c r="E237" s="224"/>
      <c r="F237" s="199"/>
      <c r="G237" s="199"/>
      <c r="H237" s="314">
        <f>SUM(H238:H242)</f>
        <v>301.95000000000005</v>
      </c>
      <c r="I237" s="168">
        <f>SUM(I238:I242)</f>
        <v>0</v>
      </c>
      <c r="J237" s="199">
        <f t="shared" si="10"/>
        <v>1</v>
      </c>
      <c r="K237" s="199"/>
      <c r="L237" s="168"/>
      <c r="M237" s="168"/>
      <c r="N237" s="199"/>
      <c r="O237" s="199"/>
      <c r="P237" s="186">
        <f t="shared" si="9"/>
        <v>301.95000000000005</v>
      </c>
      <c r="Q237" s="199">
        <f>SUM(Q238:Q242)</f>
        <v>0</v>
      </c>
      <c r="R237" s="186">
        <f>IF(P237,(P237-Q237)/P237,"NB")</f>
        <v>1</v>
      </c>
    </row>
    <row r="238" spans="1:18" ht="15">
      <c r="A238" s="268" t="s">
        <v>353</v>
      </c>
      <c r="B238" s="23" t="s">
        <v>156</v>
      </c>
      <c r="C238" s="21"/>
      <c r="D238" s="107"/>
      <c r="E238" s="107"/>
      <c r="F238" s="196"/>
      <c r="G238" s="196"/>
      <c r="H238" s="324">
        <f>27.69+3.93+27.97</f>
        <v>59.59</v>
      </c>
      <c r="I238" s="107"/>
      <c r="J238" s="196">
        <f t="shared" si="10"/>
        <v>1</v>
      </c>
      <c r="K238" s="107"/>
      <c r="L238" s="107"/>
      <c r="M238" s="107"/>
      <c r="N238" s="194"/>
      <c r="O238" s="194"/>
      <c r="P238" s="162">
        <f t="shared" si="9"/>
        <v>59.59</v>
      </c>
      <c r="Q238" s="107"/>
      <c r="R238" s="107">
        <f>IF(P238,(P238-Q238)/P238,"NB")</f>
        <v>1</v>
      </c>
    </row>
    <row r="239" spans="1:18" ht="15">
      <c r="A239" s="268" t="s">
        <v>354</v>
      </c>
      <c r="B239" s="23" t="s">
        <v>157</v>
      </c>
      <c r="C239" s="21"/>
      <c r="D239" s="107"/>
      <c r="E239" s="107"/>
      <c r="F239" s="196"/>
      <c r="G239" s="196"/>
      <c r="H239" s="324"/>
      <c r="I239" s="107"/>
      <c r="J239" s="196" t="str">
        <f t="shared" si="10"/>
        <v>NB</v>
      </c>
      <c r="K239" s="107"/>
      <c r="L239" s="107"/>
      <c r="M239" s="107"/>
      <c r="N239" s="194"/>
      <c r="O239" s="194"/>
      <c r="P239" s="162">
        <f t="shared" si="9"/>
        <v>0</v>
      </c>
      <c r="Q239" s="107"/>
      <c r="R239" s="107" t="str">
        <f>IF(P239,(P239-Q239)/P239,"NB")</f>
        <v>NB</v>
      </c>
    </row>
    <row r="240" spans="1:18" ht="15">
      <c r="A240" s="268" t="s">
        <v>355</v>
      </c>
      <c r="B240" s="23" t="s">
        <v>158</v>
      </c>
      <c r="C240" s="21"/>
      <c r="D240" s="107"/>
      <c r="E240" s="107"/>
      <c r="F240" s="196"/>
      <c r="G240" s="196"/>
      <c r="H240" s="324"/>
      <c r="I240" s="107"/>
      <c r="J240" s="196" t="str">
        <f t="shared" si="10"/>
        <v>NB</v>
      </c>
      <c r="K240" s="107"/>
      <c r="L240" s="107"/>
      <c r="M240" s="107"/>
      <c r="N240" s="194"/>
      <c r="O240" s="194"/>
      <c r="P240" s="162">
        <f t="shared" si="9"/>
        <v>0</v>
      </c>
      <c r="Q240" s="107"/>
      <c r="R240" s="107" t="str">
        <f>IF(P240,(P240-Q240)/P240,"NB")</f>
        <v>NB</v>
      </c>
    </row>
    <row r="241" spans="1:18" ht="15.75">
      <c r="A241" s="268" t="s">
        <v>356</v>
      </c>
      <c r="B241" s="23" t="s">
        <v>159</v>
      </c>
      <c r="C241" s="1"/>
      <c r="D241" s="108"/>
      <c r="E241" s="108"/>
      <c r="F241" s="196"/>
      <c r="G241" s="196"/>
      <c r="H241" s="323"/>
      <c r="I241" s="108"/>
      <c r="J241" s="196" t="str">
        <f t="shared" si="10"/>
        <v>NB</v>
      </c>
      <c r="K241" s="108"/>
      <c r="L241" s="108"/>
      <c r="M241" s="108"/>
      <c r="N241" s="194"/>
      <c r="O241" s="194"/>
      <c r="P241" s="162">
        <f t="shared" si="9"/>
        <v>0</v>
      </c>
      <c r="Q241" s="108"/>
      <c r="R241" s="108" t="str">
        <f>IF(P241,(P241-Q241)/P241,"NB")</f>
        <v>NB</v>
      </c>
    </row>
    <row r="242" spans="1:18" ht="30">
      <c r="A242" s="268" t="s">
        <v>357</v>
      </c>
      <c r="B242" s="23" t="s">
        <v>160</v>
      </c>
      <c r="C242" s="21"/>
      <c r="D242" s="107"/>
      <c r="E242" s="107"/>
      <c r="F242" s="196"/>
      <c r="G242" s="196"/>
      <c r="H242" s="324">
        <v>242.36</v>
      </c>
      <c r="I242" s="107"/>
      <c r="J242" s="196">
        <f t="shared" si="10"/>
        <v>1</v>
      </c>
      <c r="K242" s="107"/>
      <c r="L242" s="107"/>
      <c r="M242" s="107"/>
      <c r="N242" s="194"/>
      <c r="O242" s="194"/>
      <c r="P242" s="162">
        <f t="shared" si="9"/>
        <v>242.36</v>
      </c>
      <c r="Q242" s="107"/>
      <c r="R242" s="107">
        <f>IF(P242,(P242-Q242)/P242,"NB")</f>
        <v>1</v>
      </c>
    </row>
    <row r="243" spans="1:18" ht="15.75">
      <c r="A243" s="63" t="s">
        <v>358</v>
      </c>
      <c r="B243" s="52" t="s">
        <v>237</v>
      </c>
      <c r="C243" s="32"/>
      <c r="D243" s="110"/>
      <c r="E243" s="110"/>
      <c r="F243" s="196"/>
      <c r="G243" s="196"/>
      <c r="H243" s="329"/>
      <c r="I243" s="110"/>
      <c r="J243" s="196" t="str">
        <f t="shared" si="10"/>
        <v>NB</v>
      </c>
      <c r="K243" s="110"/>
      <c r="L243" s="110"/>
      <c r="M243" s="110"/>
      <c r="N243" s="194"/>
      <c r="O243" s="194"/>
      <c r="P243" s="162">
        <f t="shared" si="9"/>
        <v>0</v>
      </c>
      <c r="Q243" s="110"/>
      <c r="R243" s="110" t="str">
        <f>IF(P243,(P243-Q243)/P243,"NB")</f>
        <v>NB</v>
      </c>
    </row>
    <row r="244" spans="1:18" ht="98.25" customHeight="1">
      <c r="A244" s="69" t="s">
        <v>359</v>
      </c>
      <c r="B244" s="240" t="s">
        <v>763</v>
      </c>
      <c r="C244" s="241"/>
      <c r="D244" s="242"/>
      <c r="E244" s="242"/>
      <c r="F244" s="243"/>
      <c r="G244" s="243"/>
      <c r="H244" s="340"/>
      <c r="I244" s="242"/>
      <c r="J244" s="243" t="str">
        <f t="shared" si="10"/>
        <v>NB</v>
      </c>
      <c r="K244" s="242"/>
      <c r="L244" s="242"/>
      <c r="M244" s="242"/>
      <c r="N244" s="244"/>
      <c r="O244" s="244"/>
      <c r="P244" s="245">
        <f t="shared" si="9"/>
        <v>0</v>
      </c>
      <c r="Q244" s="242"/>
      <c r="R244" s="242" t="str">
        <f>IF(P244,(P244-Q244)/P244,"NB")</f>
        <v>NB</v>
      </c>
    </row>
    <row r="245" spans="1:18" ht="15.75">
      <c r="A245" s="63" t="s">
        <v>360</v>
      </c>
      <c r="B245" s="52" t="s">
        <v>239</v>
      </c>
      <c r="C245" s="32"/>
      <c r="D245" s="110"/>
      <c r="E245" s="110"/>
      <c r="F245" s="196"/>
      <c r="G245" s="196"/>
      <c r="H245" s="329"/>
      <c r="I245" s="110"/>
      <c r="J245" s="196" t="str">
        <f t="shared" si="10"/>
        <v>NB</v>
      </c>
      <c r="K245" s="110"/>
      <c r="L245" s="110"/>
      <c r="M245" s="110"/>
      <c r="N245" s="194"/>
      <c r="O245" s="194"/>
      <c r="P245" s="162">
        <f t="shared" si="9"/>
        <v>0</v>
      </c>
      <c r="Q245" s="110"/>
      <c r="R245" s="110" t="str">
        <f>IF(P245,(P245-Q245)/P245,"NB")</f>
        <v>NB</v>
      </c>
    </row>
    <row r="246" spans="1:18" ht="15.75">
      <c r="A246" s="63" t="s">
        <v>361</v>
      </c>
      <c r="B246" s="52" t="s">
        <v>240</v>
      </c>
      <c r="C246" s="32"/>
      <c r="D246" s="110"/>
      <c r="E246" s="110"/>
      <c r="F246" s="196"/>
      <c r="G246" s="196"/>
      <c r="H246" s="329">
        <v>50</v>
      </c>
      <c r="I246" s="110"/>
      <c r="J246" s="196">
        <f t="shared" si="10"/>
        <v>1</v>
      </c>
      <c r="K246" s="110"/>
      <c r="L246" s="110"/>
      <c r="M246" s="110"/>
      <c r="N246" s="194"/>
      <c r="O246" s="194"/>
      <c r="P246" s="162">
        <f t="shared" si="9"/>
        <v>50</v>
      </c>
      <c r="Q246" s="110"/>
      <c r="R246" s="110">
        <f>IF(P246,(P246-Q246)/P246,"NB")</f>
        <v>1</v>
      </c>
    </row>
    <row r="247" spans="1:18" ht="31.5">
      <c r="A247" s="63" t="s">
        <v>362</v>
      </c>
      <c r="B247" s="52" t="s">
        <v>764</v>
      </c>
      <c r="C247" s="32"/>
      <c r="D247" s="110"/>
      <c r="E247" s="110"/>
      <c r="F247" s="196"/>
      <c r="G247" s="196"/>
      <c r="H247" s="329"/>
      <c r="I247" s="110"/>
      <c r="J247" s="196" t="str">
        <f t="shared" si="10"/>
        <v>NB</v>
      </c>
      <c r="K247" s="110"/>
      <c r="L247" s="110"/>
      <c r="M247" s="110"/>
      <c r="N247" s="194"/>
      <c r="O247" s="194"/>
      <c r="P247" s="162">
        <f t="shared" si="9"/>
        <v>0</v>
      </c>
      <c r="Q247" s="110"/>
      <c r="R247" s="110" t="str">
        <f>IF(P247,(P247-Q247)/P247,"NB")</f>
        <v>NB</v>
      </c>
    </row>
    <row r="248" spans="1:18" s="167" customFormat="1" ht="15.75">
      <c r="A248" s="68" t="s">
        <v>238</v>
      </c>
      <c r="B248" s="51" t="s">
        <v>241</v>
      </c>
      <c r="C248" s="183"/>
      <c r="D248" s="72"/>
      <c r="E248" s="72"/>
      <c r="F248" s="199"/>
      <c r="G248" s="199"/>
      <c r="H248" s="333">
        <f>SUM(H249:H254)</f>
        <v>0</v>
      </c>
      <c r="I248" s="145">
        <f>SUM(I249:I254)</f>
        <v>0</v>
      </c>
      <c r="J248" s="199" t="str">
        <f aca="true" t="shared" si="11" ref="J248:J276">IF(H248,(H248-I248)/H248,"NB")</f>
        <v>NB</v>
      </c>
      <c r="K248" s="72"/>
      <c r="L248" s="72"/>
      <c r="M248" s="72"/>
      <c r="N248" s="198"/>
      <c r="O248" s="198"/>
      <c r="P248" s="134">
        <f t="shared" si="9"/>
        <v>0</v>
      </c>
      <c r="Q248" s="145">
        <f>SUM(Q249:Q254)</f>
        <v>0</v>
      </c>
      <c r="R248" s="145" t="str">
        <f>IF(P248,(P248-Q248)/P248,"NB")</f>
        <v>NB</v>
      </c>
    </row>
    <row r="249" spans="1:18" ht="15">
      <c r="A249" s="283" t="s">
        <v>452</v>
      </c>
      <c r="B249" s="40" t="s">
        <v>242</v>
      </c>
      <c r="C249" s="32"/>
      <c r="D249" s="110"/>
      <c r="E249" s="110"/>
      <c r="F249" s="196"/>
      <c r="G249" s="196"/>
      <c r="H249" s="329"/>
      <c r="I249" s="110"/>
      <c r="J249" s="196" t="str">
        <f t="shared" si="11"/>
        <v>NB</v>
      </c>
      <c r="K249" s="110"/>
      <c r="L249" s="110"/>
      <c r="M249" s="110"/>
      <c r="N249" s="194"/>
      <c r="O249" s="194"/>
      <c r="P249" s="162">
        <f aca="true" t="shared" si="12" ref="P249:P330">H249</f>
        <v>0</v>
      </c>
      <c r="Q249" s="110"/>
      <c r="R249" s="110" t="str">
        <f>IF(P249,(P249-Q249)/P249,"NB")</f>
        <v>NB</v>
      </c>
    </row>
    <row r="250" spans="1:18" ht="30">
      <c r="A250" s="283" t="s">
        <v>453</v>
      </c>
      <c r="B250" s="40" t="s">
        <v>243</v>
      </c>
      <c r="C250" s="32"/>
      <c r="D250" s="110"/>
      <c r="E250" s="110"/>
      <c r="F250" s="196"/>
      <c r="G250" s="196"/>
      <c r="H250" s="329"/>
      <c r="I250" s="110"/>
      <c r="J250" s="196" t="str">
        <f t="shared" si="11"/>
        <v>NB</v>
      </c>
      <c r="K250" s="110"/>
      <c r="L250" s="110"/>
      <c r="M250" s="110"/>
      <c r="N250" s="194"/>
      <c r="O250" s="194"/>
      <c r="P250" s="162">
        <f t="shared" si="12"/>
        <v>0</v>
      </c>
      <c r="Q250" s="110"/>
      <c r="R250" s="110" t="str">
        <f>IF(P250,(P250-Q250)/P250,"NB")</f>
        <v>NB</v>
      </c>
    </row>
    <row r="251" spans="1:18" ht="15">
      <c r="A251" s="283" t="s">
        <v>454</v>
      </c>
      <c r="B251" s="40" t="s">
        <v>379</v>
      </c>
      <c r="C251" s="32"/>
      <c r="D251" s="110"/>
      <c r="E251" s="110"/>
      <c r="F251" s="196"/>
      <c r="G251" s="196"/>
      <c r="H251" s="329"/>
      <c r="I251" s="110"/>
      <c r="J251" s="196" t="str">
        <f t="shared" si="11"/>
        <v>NB</v>
      </c>
      <c r="K251" s="110"/>
      <c r="L251" s="110"/>
      <c r="M251" s="110"/>
      <c r="N251" s="194"/>
      <c r="O251" s="194"/>
      <c r="P251" s="162">
        <f t="shared" si="12"/>
        <v>0</v>
      </c>
      <c r="Q251" s="110"/>
      <c r="R251" s="110" t="str">
        <f>IF(P251,(P251-Q251)/P251,"NB")</f>
        <v>NB</v>
      </c>
    </row>
    <row r="252" spans="1:18" ht="15">
      <c r="A252" s="283" t="s">
        <v>455</v>
      </c>
      <c r="B252" s="40" t="s">
        <v>244</v>
      </c>
      <c r="C252" s="32"/>
      <c r="D252" s="110"/>
      <c r="E252" s="110"/>
      <c r="F252" s="196"/>
      <c r="G252" s="196"/>
      <c r="H252" s="329"/>
      <c r="I252" s="110"/>
      <c r="J252" s="196" t="str">
        <f t="shared" si="11"/>
        <v>NB</v>
      </c>
      <c r="K252" s="110"/>
      <c r="L252" s="110"/>
      <c r="M252" s="110"/>
      <c r="N252" s="194"/>
      <c r="O252" s="194"/>
      <c r="P252" s="162">
        <f t="shared" si="12"/>
        <v>0</v>
      </c>
      <c r="Q252" s="110"/>
      <c r="R252" s="110" t="str">
        <f>IF(P252,(P252-Q252)/P252,"NB")</f>
        <v>NB</v>
      </c>
    </row>
    <row r="253" spans="1:18" ht="30">
      <c r="A253" s="283" t="s">
        <v>456</v>
      </c>
      <c r="B253" s="40" t="s">
        <v>245</v>
      </c>
      <c r="C253" s="32"/>
      <c r="D253" s="110"/>
      <c r="E253" s="110"/>
      <c r="F253" s="196"/>
      <c r="G253" s="196"/>
      <c r="H253" s="329"/>
      <c r="I253" s="110"/>
      <c r="J253" s="196" t="str">
        <f t="shared" si="11"/>
        <v>NB</v>
      </c>
      <c r="K253" s="110"/>
      <c r="L253" s="110"/>
      <c r="M253" s="110"/>
      <c r="N253" s="194"/>
      <c r="O253" s="194"/>
      <c r="P253" s="162">
        <f t="shared" si="12"/>
        <v>0</v>
      </c>
      <c r="Q253" s="110"/>
      <c r="R253" s="110" t="str">
        <f>IF(P253,(P253-Q253)/P253,"NB")</f>
        <v>NB</v>
      </c>
    </row>
    <row r="254" spans="1:18" ht="15">
      <c r="A254" s="283" t="s">
        <v>457</v>
      </c>
      <c r="B254" s="40" t="s">
        <v>378</v>
      </c>
      <c r="C254" s="32"/>
      <c r="D254" s="110"/>
      <c r="E254" s="110"/>
      <c r="F254" s="196"/>
      <c r="G254" s="196"/>
      <c r="H254" s="329"/>
      <c r="I254" s="110"/>
      <c r="J254" s="196" t="str">
        <f t="shared" si="11"/>
        <v>NB</v>
      </c>
      <c r="K254" s="110"/>
      <c r="L254" s="110"/>
      <c r="M254" s="110"/>
      <c r="N254" s="194"/>
      <c r="O254" s="194"/>
      <c r="P254" s="162">
        <f t="shared" si="12"/>
        <v>0</v>
      </c>
      <c r="Q254" s="110"/>
      <c r="R254" s="110" t="str">
        <f>IF(P254,(P254-Q254)/P254,"NB")</f>
        <v>NB</v>
      </c>
    </row>
    <row r="255" spans="1:18" ht="30.75">
      <c r="A255" s="284" t="s">
        <v>458</v>
      </c>
      <c r="B255" s="52" t="s">
        <v>996</v>
      </c>
      <c r="C255" s="32"/>
      <c r="D255" s="110"/>
      <c r="E255" s="110">
        <v>3</v>
      </c>
      <c r="F255" s="196"/>
      <c r="G255" s="196"/>
      <c r="H255" s="329"/>
      <c r="I255" s="110">
        <v>1.97667</v>
      </c>
      <c r="J255" s="196" t="str">
        <f t="shared" si="11"/>
        <v>NB</v>
      </c>
      <c r="K255" s="110"/>
      <c r="L255" s="110"/>
      <c r="M255" s="110">
        <v>3</v>
      </c>
      <c r="N255" s="194"/>
      <c r="O255" s="194"/>
      <c r="P255" s="162">
        <f t="shared" si="12"/>
        <v>0</v>
      </c>
      <c r="Q255" s="110">
        <f>7.37898+I255</f>
        <v>9.35565</v>
      </c>
      <c r="R255" s="110" t="str">
        <f>IF(P255,(P255-Q255)/P255,"NB")</f>
        <v>NB</v>
      </c>
    </row>
    <row r="256" spans="1:18" s="167" customFormat="1" ht="15.75">
      <c r="A256" s="267" t="s">
        <v>248</v>
      </c>
      <c r="B256" s="2" t="s">
        <v>249</v>
      </c>
      <c r="C256" s="2"/>
      <c r="D256" s="111"/>
      <c r="E256" s="111"/>
      <c r="F256" s="200"/>
      <c r="G256" s="200"/>
      <c r="H256" s="341">
        <f>SUM(H257:H263)</f>
        <v>226.32</v>
      </c>
      <c r="I256" s="139">
        <f>SUM(I257:I263)</f>
        <v>0.61357</v>
      </c>
      <c r="J256" s="200">
        <f t="shared" si="11"/>
        <v>0.9972889271827501</v>
      </c>
      <c r="K256" s="111"/>
      <c r="L256" s="111"/>
      <c r="M256" s="111"/>
      <c r="N256" s="197"/>
      <c r="O256" s="197"/>
      <c r="P256" s="139">
        <f>SUM(P257:P263)</f>
        <v>226.32</v>
      </c>
      <c r="Q256" s="139">
        <f>SUM(Q257:Q263)</f>
        <v>77.68402</v>
      </c>
      <c r="R256" s="139">
        <f>IF(P256,(P256-Q256)/P256,"NB")</f>
        <v>0.6567514139271827</v>
      </c>
    </row>
    <row r="257" spans="1:18" ht="30">
      <c r="A257" s="285" t="s">
        <v>250</v>
      </c>
      <c r="B257" s="23" t="s">
        <v>251</v>
      </c>
      <c r="C257" s="39"/>
      <c r="D257" s="115"/>
      <c r="E257" s="115">
        <v>1</v>
      </c>
      <c r="F257" s="196"/>
      <c r="G257" s="196"/>
      <c r="H257" s="342">
        <v>66.25</v>
      </c>
      <c r="I257" s="115">
        <v>0.03157</v>
      </c>
      <c r="J257" s="196">
        <f t="shared" si="11"/>
        <v>0.9995234716981132</v>
      </c>
      <c r="K257" s="115"/>
      <c r="L257" s="115"/>
      <c r="M257" s="115">
        <v>1</v>
      </c>
      <c r="N257" s="194"/>
      <c r="O257" s="194"/>
      <c r="P257" s="162">
        <f t="shared" si="12"/>
        <v>66.25</v>
      </c>
      <c r="Q257" s="115">
        <f>13.49763+I257</f>
        <v>13.5292</v>
      </c>
      <c r="R257" s="115">
        <f>IF(P257,(P257-Q257)/P257,"NB")</f>
        <v>0.7957856603773584</v>
      </c>
    </row>
    <row r="258" spans="1:18" ht="15">
      <c r="A258" s="285" t="s">
        <v>252</v>
      </c>
      <c r="B258" s="23" t="s">
        <v>364</v>
      </c>
      <c r="C258" s="39"/>
      <c r="D258" s="115"/>
      <c r="E258" s="115">
        <v>2</v>
      </c>
      <c r="F258" s="196"/>
      <c r="G258" s="196"/>
      <c r="H258" s="342">
        <v>12.16</v>
      </c>
      <c r="I258" s="115">
        <v>0.582</v>
      </c>
      <c r="J258" s="196">
        <f t="shared" si="11"/>
        <v>0.9521381578947368</v>
      </c>
      <c r="K258" s="115"/>
      <c r="L258" s="115"/>
      <c r="M258" s="115">
        <v>2</v>
      </c>
      <c r="N258" s="194"/>
      <c r="O258" s="194"/>
      <c r="P258" s="162">
        <f t="shared" si="12"/>
        <v>12.16</v>
      </c>
      <c r="Q258" s="115">
        <f>3.422+I258</f>
        <v>4.0040000000000004</v>
      </c>
      <c r="R258" s="115">
        <f>IF(P258,(P258-Q258)/P258,"NB")</f>
        <v>0.6707236842105262</v>
      </c>
    </row>
    <row r="259" spans="1:18" ht="15">
      <c r="A259" s="285" t="s">
        <v>254</v>
      </c>
      <c r="B259" s="23" t="s">
        <v>383</v>
      </c>
      <c r="C259" s="39"/>
      <c r="D259" s="115"/>
      <c r="E259" s="115"/>
      <c r="F259" s="196"/>
      <c r="G259" s="196"/>
      <c r="H259" s="342">
        <v>13</v>
      </c>
      <c r="I259" s="115">
        <v>0</v>
      </c>
      <c r="J259" s="196">
        <f t="shared" si="11"/>
        <v>1</v>
      </c>
      <c r="K259" s="115"/>
      <c r="L259" s="115"/>
      <c r="M259" s="115"/>
      <c r="N259" s="194"/>
      <c r="O259" s="194"/>
      <c r="P259" s="162">
        <f t="shared" si="12"/>
        <v>13</v>
      </c>
      <c r="Q259" s="115">
        <v>0</v>
      </c>
      <c r="R259" s="115">
        <f>IF(P259,(P259-Q259)/P259,"NB")</f>
        <v>1</v>
      </c>
    </row>
    <row r="260" spans="1:18" ht="15">
      <c r="A260" s="285" t="s">
        <v>382</v>
      </c>
      <c r="B260" s="23" t="s">
        <v>253</v>
      </c>
      <c r="C260" s="39"/>
      <c r="D260" s="115"/>
      <c r="E260" s="115"/>
      <c r="F260" s="196"/>
      <c r="G260" s="196"/>
      <c r="H260" s="342">
        <v>1</v>
      </c>
      <c r="I260" s="115">
        <v>0</v>
      </c>
      <c r="J260" s="196">
        <f t="shared" si="11"/>
        <v>1</v>
      </c>
      <c r="K260" s="115"/>
      <c r="L260" s="115"/>
      <c r="M260" s="115"/>
      <c r="N260" s="194"/>
      <c r="O260" s="194"/>
      <c r="P260" s="162">
        <f t="shared" si="12"/>
        <v>1</v>
      </c>
      <c r="Q260" s="115">
        <v>0</v>
      </c>
      <c r="R260" s="115">
        <f>IF(P260,(P260-Q260)/P260,"NB")</f>
        <v>1</v>
      </c>
    </row>
    <row r="261" spans="1:18" ht="15">
      <c r="A261" s="285" t="s">
        <v>437</v>
      </c>
      <c r="B261" s="23" t="s">
        <v>469</v>
      </c>
      <c r="C261" s="39"/>
      <c r="D261" s="115"/>
      <c r="E261" s="115"/>
      <c r="F261" s="196"/>
      <c r="G261" s="196"/>
      <c r="H261" s="342">
        <v>6.36</v>
      </c>
      <c r="I261" s="115"/>
      <c r="J261" s="196">
        <f t="shared" si="11"/>
        <v>1</v>
      </c>
      <c r="K261" s="115"/>
      <c r="L261" s="115"/>
      <c r="M261" s="115"/>
      <c r="N261" s="194"/>
      <c r="O261" s="194"/>
      <c r="P261" s="162">
        <f t="shared" si="12"/>
        <v>6.36</v>
      </c>
      <c r="Q261" s="115">
        <v>0.2655</v>
      </c>
      <c r="R261" s="115">
        <f>IF(P261,(P261-Q261)/P261,"NB")</f>
        <v>0.9582547169811321</v>
      </c>
    </row>
    <row r="262" spans="1:18" ht="17.25" customHeight="1">
      <c r="A262" s="285" t="s">
        <v>471</v>
      </c>
      <c r="B262" s="23" t="s">
        <v>255</v>
      </c>
      <c r="C262" s="39"/>
      <c r="D262" s="115"/>
      <c r="E262" s="115"/>
      <c r="F262" s="196"/>
      <c r="G262" s="196"/>
      <c r="H262" s="342">
        <v>127.55</v>
      </c>
      <c r="I262" s="115"/>
      <c r="J262" s="196">
        <f t="shared" si="11"/>
        <v>1</v>
      </c>
      <c r="K262" s="115"/>
      <c r="L262" s="115"/>
      <c r="M262" s="115"/>
      <c r="N262" s="194"/>
      <c r="O262" s="194"/>
      <c r="P262" s="162">
        <f t="shared" si="12"/>
        <v>127.55</v>
      </c>
      <c r="Q262" s="115">
        <v>59.88532</v>
      </c>
      <c r="R262" s="115">
        <f>IF(P262,(P262-Q262)/P262,"NB")</f>
        <v>0.5304953351626813</v>
      </c>
    </row>
    <row r="263" spans="1:18" ht="17.25" customHeight="1">
      <c r="A263" s="285" t="s">
        <v>997</v>
      </c>
      <c r="B263" s="23" t="s">
        <v>998</v>
      </c>
      <c r="C263" s="39"/>
      <c r="D263" s="115"/>
      <c r="E263" s="115"/>
      <c r="F263" s="196"/>
      <c r="G263" s="196"/>
      <c r="H263" s="342"/>
      <c r="I263" s="115"/>
      <c r="J263" s="196" t="str">
        <f t="shared" si="11"/>
        <v>NB</v>
      </c>
      <c r="K263" s="115"/>
      <c r="L263" s="115"/>
      <c r="M263" s="115"/>
      <c r="N263" s="194"/>
      <c r="O263" s="194"/>
      <c r="P263" s="162"/>
      <c r="Q263" s="115"/>
      <c r="R263" s="115"/>
    </row>
    <row r="264" spans="1:18" s="167" customFormat="1" ht="15.75">
      <c r="A264" s="267" t="s">
        <v>256</v>
      </c>
      <c r="B264" s="2" t="s">
        <v>257</v>
      </c>
      <c r="C264" s="96"/>
      <c r="D264" s="96"/>
      <c r="E264" s="96"/>
      <c r="F264" s="200"/>
      <c r="G264" s="200"/>
      <c r="H264" s="343">
        <f>SUM(H265:H276)</f>
        <v>52.63</v>
      </c>
      <c r="I264" s="187">
        <f>SUM(I265:I276)</f>
        <v>0</v>
      </c>
      <c r="J264" s="200">
        <f t="shared" si="11"/>
        <v>1</v>
      </c>
      <c r="K264" s="96"/>
      <c r="L264" s="96"/>
      <c r="M264" s="96"/>
      <c r="N264" s="197"/>
      <c r="O264" s="197"/>
      <c r="P264" s="187">
        <f>SUM(P265:P276)</f>
        <v>52.63</v>
      </c>
      <c r="Q264" s="187">
        <f>SUM(Q265:Q276)</f>
        <v>0</v>
      </c>
      <c r="R264" s="187">
        <f>IF(P264,(P264-Q264)/P264,"NB")</f>
        <v>1</v>
      </c>
    </row>
    <row r="265" spans="1:18" ht="15">
      <c r="A265" s="286" t="s">
        <v>393</v>
      </c>
      <c r="B265" s="57" t="s">
        <v>389</v>
      </c>
      <c r="C265" s="56"/>
      <c r="D265" s="56"/>
      <c r="E265" s="56"/>
      <c r="F265" s="196"/>
      <c r="G265" s="196"/>
      <c r="H265" s="344">
        <v>13</v>
      </c>
      <c r="I265" s="149"/>
      <c r="J265" s="196">
        <f t="shared" si="11"/>
        <v>1</v>
      </c>
      <c r="K265" s="56"/>
      <c r="L265" s="56"/>
      <c r="M265" s="56"/>
      <c r="N265" s="194"/>
      <c r="O265" s="194"/>
      <c r="P265" s="162">
        <f t="shared" si="12"/>
        <v>13</v>
      </c>
      <c r="Q265" s="56"/>
      <c r="R265" s="149">
        <f>IF(P265,(P265-Q265)/P265,"NB")</f>
        <v>1</v>
      </c>
    </row>
    <row r="266" spans="1:18" ht="15">
      <c r="A266" s="286" t="s">
        <v>411</v>
      </c>
      <c r="B266" s="57" t="s">
        <v>433</v>
      </c>
      <c r="C266" s="56"/>
      <c r="D266" s="56"/>
      <c r="E266" s="56"/>
      <c r="F266" s="196"/>
      <c r="G266" s="196"/>
      <c r="H266" s="344"/>
      <c r="I266" s="149"/>
      <c r="J266" s="196" t="str">
        <f t="shared" si="11"/>
        <v>NB</v>
      </c>
      <c r="K266" s="56"/>
      <c r="L266" s="56"/>
      <c r="M266" s="56"/>
      <c r="N266" s="194"/>
      <c r="O266" s="194"/>
      <c r="P266" s="162">
        <f t="shared" si="12"/>
        <v>0</v>
      </c>
      <c r="Q266" s="56"/>
      <c r="R266" s="149" t="str">
        <f>IF(P266,(P266-Q266)/P266,"NB")</f>
        <v>NB</v>
      </c>
    </row>
    <row r="267" spans="1:18" ht="15">
      <c r="A267" s="286" t="s">
        <v>412</v>
      </c>
      <c r="B267" s="57" t="s">
        <v>765</v>
      </c>
      <c r="C267" s="56"/>
      <c r="D267" s="56"/>
      <c r="E267" s="56"/>
      <c r="F267" s="196"/>
      <c r="G267" s="196"/>
      <c r="H267" s="344"/>
      <c r="I267" s="149"/>
      <c r="J267" s="196" t="str">
        <f t="shared" si="11"/>
        <v>NB</v>
      </c>
      <c r="K267" s="56"/>
      <c r="L267" s="56"/>
      <c r="M267" s="56"/>
      <c r="N267" s="194"/>
      <c r="O267" s="194"/>
      <c r="P267" s="162">
        <f t="shared" si="12"/>
        <v>0</v>
      </c>
      <c r="Q267" s="56"/>
      <c r="R267" s="149" t="str">
        <f>IF(P267,(P267-Q267)/P267,"NB")</f>
        <v>NB</v>
      </c>
    </row>
    <row r="268" spans="1:18" ht="15">
      <c r="A268" s="286" t="s">
        <v>413</v>
      </c>
      <c r="B268" s="57" t="s">
        <v>432</v>
      </c>
      <c r="C268" s="56"/>
      <c r="D268" s="56"/>
      <c r="E268" s="56"/>
      <c r="F268" s="196"/>
      <c r="G268" s="196"/>
      <c r="H268" s="344"/>
      <c r="I268" s="149"/>
      <c r="J268" s="196" t="str">
        <f t="shared" si="11"/>
        <v>NB</v>
      </c>
      <c r="K268" s="56"/>
      <c r="L268" s="56"/>
      <c r="M268" s="56"/>
      <c r="N268" s="194"/>
      <c r="O268" s="194"/>
      <c r="P268" s="162">
        <f t="shared" si="12"/>
        <v>0</v>
      </c>
      <c r="Q268" s="56"/>
      <c r="R268" s="149" t="str">
        <f>IF(P268,(P268-Q268)/P268,"NB")</f>
        <v>NB</v>
      </c>
    </row>
    <row r="269" spans="1:18" ht="15">
      <c r="A269" s="286" t="s">
        <v>394</v>
      </c>
      <c r="B269" s="56" t="s">
        <v>390</v>
      </c>
      <c r="C269" s="56"/>
      <c r="D269" s="56"/>
      <c r="E269" s="56"/>
      <c r="F269" s="196"/>
      <c r="G269" s="196"/>
      <c r="H269" s="344">
        <v>7</v>
      </c>
      <c r="I269" s="149"/>
      <c r="J269" s="196">
        <f t="shared" si="11"/>
        <v>1</v>
      </c>
      <c r="K269" s="56"/>
      <c r="L269" s="56"/>
      <c r="M269" s="56"/>
      <c r="N269" s="194"/>
      <c r="O269" s="194"/>
      <c r="P269" s="162">
        <f t="shared" si="12"/>
        <v>7</v>
      </c>
      <c r="Q269" s="56"/>
      <c r="R269" s="149">
        <f>IF(P269,(P269-Q269)/P269,"NB")</f>
        <v>1</v>
      </c>
    </row>
    <row r="270" spans="1:18" ht="15">
      <c r="A270" s="286" t="s">
        <v>414</v>
      </c>
      <c r="B270" s="56" t="s">
        <v>431</v>
      </c>
      <c r="C270" s="56"/>
      <c r="D270" s="56"/>
      <c r="E270" s="56"/>
      <c r="F270" s="196"/>
      <c r="G270" s="196"/>
      <c r="H270" s="344"/>
      <c r="I270" s="149"/>
      <c r="J270" s="196" t="str">
        <f t="shared" si="11"/>
        <v>NB</v>
      </c>
      <c r="K270" s="56"/>
      <c r="L270" s="56"/>
      <c r="M270" s="56"/>
      <c r="N270" s="194"/>
      <c r="O270" s="194"/>
      <c r="P270" s="162">
        <f t="shared" si="12"/>
        <v>0</v>
      </c>
      <c r="Q270" s="56"/>
      <c r="R270" s="149" t="str">
        <f>IF(P270,(P270-Q270)/P270,"NB")</f>
        <v>NB</v>
      </c>
    </row>
    <row r="271" spans="1:18" ht="15">
      <c r="A271" s="286" t="s">
        <v>415</v>
      </c>
      <c r="B271" s="56" t="s">
        <v>430</v>
      </c>
      <c r="C271" s="56"/>
      <c r="D271" s="56"/>
      <c r="E271" s="56"/>
      <c r="F271" s="196"/>
      <c r="G271" s="196"/>
      <c r="H271" s="344"/>
      <c r="I271" s="149"/>
      <c r="J271" s="196" t="str">
        <f t="shared" si="11"/>
        <v>NB</v>
      </c>
      <c r="K271" s="56"/>
      <c r="L271" s="56"/>
      <c r="M271" s="56"/>
      <c r="N271" s="194"/>
      <c r="O271" s="194"/>
      <c r="P271" s="162">
        <f t="shared" si="12"/>
        <v>0</v>
      </c>
      <c r="Q271" s="56"/>
      <c r="R271" s="149" t="str">
        <f>IF(P271,(P271-Q271)/P271,"NB")</f>
        <v>NB</v>
      </c>
    </row>
    <row r="272" spans="1:18" ht="15">
      <c r="A272" s="286" t="s">
        <v>395</v>
      </c>
      <c r="B272" s="56" t="s">
        <v>391</v>
      </c>
      <c r="C272" s="56"/>
      <c r="D272" s="56"/>
      <c r="E272" s="56"/>
      <c r="F272" s="196"/>
      <c r="G272" s="196"/>
      <c r="H272" s="344">
        <v>20</v>
      </c>
      <c r="I272" s="149"/>
      <c r="J272" s="196">
        <f t="shared" si="11"/>
        <v>1</v>
      </c>
      <c r="K272" s="56"/>
      <c r="L272" s="56"/>
      <c r="M272" s="56"/>
      <c r="N272" s="194"/>
      <c r="O272" s="194"/>
      <c r="P272" s="162">
        <f t="shared" si="12"/>
        <v>20</v>
      </c>
      <c r="Q272" s="56"/>
      <c r="R272" s="149">
        <f>IF(P272,(P272-Q272)/P272,"NB")</f>
        <v>1</v>
      </c>
    </row>
    <row r="273" spans="1:18" ht="15">
      <c r="A273" s="286" t="s">
        <v>396</v>
      </c>
      <c r="B273" s="57" t="s">
        <v>392</v>
      </c>
      <c r="C273" s="56"/>
      <c r="D273" s="56"/>
      <c r="E273" s="56"/>
      <c r="F273" s="196"/>
      <c r="G273" s="196"/>
      <c r="H273" s="344">
        <v>1</v>
      </c>
      <c r="I273" s="149"/>
      <c r="J273" s="196">
        <f t="shared" si="11"/>
        <v>1</v>
      </c>
      <c r="K273" s="56"/>
      <c r="L273" s="56"/>
      <c r="M273" s="56"/>
      <c r="N273" s="194"/>
      <c r="O273" s="194"/>
      <c r="P273" s="162">
        <f t="shared" si="12"/>
        <v>1</v>
      </c>
      <c r="Q273" s="56"/>
      <c r="R273" s="149">
        <f>IF(P273,(P273-Q273)/P273,"NB")</f>
        <v>1</v>
      </c>
    </row>
    <row r="274" spans="1:18" ht="15">
      <c r="A274" s="286" t="s">
        <v>495</v>
      </c>
      <c r="B274" s="57" t="s">
        <v>496</v>
      </c>
      <c r="C274" s="56"/>
      <c r="D274" s="56"/>
      <c r="E274" s="56"/>
      <c r="F274" s="196"/>
      <c r="G274" s="196"/>
      <c r="H274" s="344"/>
      <c r="I274" s="149"/>
      <c r="J274" s="196" t="str">
        <f t="shared" si="11"/>
        <v>NB</v>
      </c>
      <c r="K274" s="56"/>
      <c r="L274" s="56"/>
      <c r="M274" s="56"/>
      <c r="N274" s="194"/>
      <c r="O274" s="194"/>
      <c r="P274" s="162">
        <f t="shared" si="12"/>
        <v>0</v>
      </c>
      <c r="Q274" s="56"/>
      <c r="R274" s="149" t="str">
        <f>IF(P274,(P274-Q274)/P274,"NB")</f>
        <v>NB</v>
      </c>
    </row>
    <row r="275" spans="1:18" ht="15">
      <c r="A275" s="269" t="s">
        <v>897</v>
      </c>
      <c r="B275" s="247" t="s">
        <v>469</v>
      </c>
      <c r="C275" s="56" t="s">
        <v>807</v>
      </c>
      <c r="D275" s="56"/>
      <c r="E275" s="56"/>
      <c r="F275" s="196"/>
      <c r="G275" s="196"/>
      <c r="H275" s="344">
        <v>11.63</v>
      </c>
      <c r="I275" s="149"/>
      <c r="J275" s="196">
        <f t="shared" si="11"/>
        <v>1</v>
      </c>
      <c r="K275" s="56"/>
      <c r="L275" s="56"/>
      <c r="M275" s="56"/>
      <c r="N275" s="194"/>
      <c r="O275" s="194"/>
      <c r="P275" s="162">
        <f>H275</f>
        <v>11.63</v>
      </c>
      <c r="Q275" s="56"/>
      <c r="R275" s="149">
        <f>IF(P275,(P275-Q275)/P275,"NB")</f>
        <v>1</v>
      </c>
    </row>
    <row r="276" spans="1:18" ht="15">
      <c r="A276" s="269" t="s">
        <v>999</v>
      </c>
      <c r="B276" s="248" t="s">
        <v>998</v>
      </c>
      <c r="C276" s="56"/>
      <c r="D276" s="56"/>
      <c r="E276" s="56"/>
      <c r="F276" s="196"/>
      <c r="G276" s="196"/>
      <c r="H276" s="344"/>
      <c r="I276" s="149"/>
      <c r="J276" s="196" t="str">
        <f t="shared" si="11"/>
        <v>NB</v>
      </c>
      <c r="K276" s="56"/>
      <c r="L276" s="56"/>
      <c r="M276" s="56"/>
      <c r="N276" s="194"/>
      <c r="O276" s="194"/>
      <c r="P276" s="162">
        <f>H276</f>
        <v>0</v>
      </c>
      <c r="Q276" s="56"/>
      <c r="R276" s="149" t="str">
        <f>IF(P276,(P276-Q276)/P276,"NB")</f>
        <v>NB</v>
      </c>
    </row>
    <row r="277" spans="1:18" s="188" customFormat="1" ht="18.75" customHeight="1">
      <c r="A277" s="267" t="s">
        <v>258</v>
      </c>
      <c r="B277" s="2" t="s">
        <v>259</v>
      </c>
      <c r="C277" s="96"/>
      <c r="D277" s="96"/>
      <c r="E277" s="96"/>
      <c r="F277" s="200"/>
      <c r="G277" s="200"/>
      <c r="H277" s="345">
        <f>SUM(H278,H284,H288,H293,H296,H297,H298,H299,H300)</f>
        <v>119.39</v>
      </c>
      <c r="I277" s="140">
        <f>SUM(I278:I300)</f>
        <v>0</v>
      </c>
      <c r="J277" s="200">
        <f aca="true" t="shared" si="13" ref="J277:J299">IF(H277,(H277-I277)/H277,"NB")</f>
        <v>1</v>
      </c>
      <c r="K277" s="96"/>
      <c r="L277" s="96"/>
      <c r="M277" s="96"/>
      <c r="N277" s="197"/>
      <c r="O277" s="197"/>
      <c r="P277" s="140">
        <f>SUM(P278:P300)</f>
        <v>195.75</v>
      </c>
      <c r="Q277" s="140">
        <f>SUM(Q278:Q300)</f>
        <v>0</v>
      </c>
      <c r="R277" s="140">
        <f>IF(P277,(P277-Q277)/P277,"NB")</f>
        <v>1</v>
      </c>
    </row>
    <row r="278" spans="1:18" s="79" customFormat="1" ht="15.75">
      <c r="A278" s="287" t="s">
        <v>260</v>
      </c>
      <c r="B278" s="83" t="s">
        <v>268</v>
      </c>
      <c r="C278" s="80"/>
      <c r="D278" s="80"/>
      <c r="E278" s="80"/>
      <c r="F278" s="196"/>
      <c r="G278" s="196"/>
      <c r="H278" s="342">
        <f>26.6+9</f>
        <v>35.6</v>
      </c>
      <c r="I278" s="150"/>
      <c r="J278" s="196">
        <f t="shared" si="13"/>
        <v>1</v>
      </c>
      <c r="K278" s="80"/>
      <c r="L278" s="80"/>
      <c r="M278" s="80"/>
      <c r="N278" s="194"/>
      <c r="O278" s="194"/>
      <c r="P278" s="162">
        <f t="shared" si="12"/>
        <v>35.6</v>
      </c>
      <c r="Q278" s="80"/>
      <c r="R278" s="115">
        <f>IF(P278,(P278-Q278)/P278,"NB")</f>
        <v>1</v>
      </c>
    </row>
    <row r="279" spans="1:18" s="79" customFormat="1" ht="15">
      <c r="A279" s="286" t="s">
        <v>549</v>
      </c>
      <c r="B279" s="57" t="s">
        <v>525</v>
      </c>
      <c r="C279" s="80"/>
      <c r="D279" s="80"/>
      <c r="E279" s="80"/>
      <c r="F279" s="196"/>
      <c r="G279" s="196"/>
      <c r="H279" s="342"/>
      <c r="I279" s="150"/>
      <c r="J279" s="196" t="str">
        <f t="shared" si="13"/>
        <v>NB</v>
      </c>
      <c r="K279" s="80"/>
      <c r="L279" s="80"/>
      <c r="M279" s="80"/>
      <c r="N279" s="194"/>
      <c r="O279" s="194"/>
      <c r="P279" s="162">
        <f t="shared" si="12"/>
        <v>0</v>
      </c>
      <c r="Q279" s="80"/>
      <c r="R279" s="115" t="str">
        <f>IF(P279,(P279-Q279)/P279,"NB")</f>
        <v>NB</v>
      </c>
    </row>
    <row r="280" spans="1:18" s="79" customFormat="1" ht="15">
      <c r="A280" s="286" t="s">
        <v>550</v>
      </c>
      <c r="B280" s="57" t="s">
        <v>526</v>
      </c>
      <c r="C280" s="80"/>
      <c r="D280" s="80"/>
      <c r="E280" s="80"/>
      <c r="F280" s="196"/>
      <c r="G280" s="196"/>
      <c r="H280" s="342"/>
      <c r="I280" s="150"/>
      <c r="J280" s="196" t="str">
        <f t="shared" si="13"/>
        <v>NB</v>
      </c>
      <c r="K280" s="80"/>
      <c r="L280" s="80"/>
      <c r="M280" s="80"/>
      <c r="N280" s="194"/>
      <c r="O280" s="194"/>
      <c r="P280" s="162">
        <f t="shared" si="12"/>
        <v>0</v>
      </c>
      <c r="Q280" s="80"/>
      <c r="R280" s="115" t="str">
        <f>IF(P280,(P280-Q280)/P280,"NB")</f>
        <v>NB</v>
      </c>
    </row>
    <row r="281" spans="1:18" s="79" customFormat="1" ht="15">
      <c r="A281" s="286" t="s">
        <v>551</v>
      </c>
      <c r="B281" s="57" t="s">
        <v>527</v>
      </c>
      <c r="C281" s="80"/>
      <c r="D281" s="80"/>
      <c r="E281" s="80"/>
      <c r="F281" s="196"/>
      <c r="G281" s="196"/>
      <c r="H281" s="342"/>
      <c r="I281" s="150"/>
      <c r="J281" s="196" t="str">
        <f t="shared" si="13"/>
        <v>NB</v>
      </c>
      <c r="K281" s="80"/>
      <c r="L281" s="80"/>
      <c r="M281" s="80"/>
      <c r="N281" s="194"/>
      <c r="O281" s="194"/>
      <c r="P281" s="162">
        <f t="shared" si="12"/>
        <v>0</v>
      </c>
      <c r="Q281" s="80"/>
      <c r="R281" s="115" t="str">
        <f>IF(P281,(P281-Q281)/P281,"NB")</f>
        <v>NB</v>
      </c>
    </row>
    <row r="282" spans="1:18" s="79" customFormat="1" ht="15">
      <c r="A282" s="286" t="s">
        <v>552</v>
      </c>
      <c r="B282" s="56" t="s">
        <v>528</v>
      </c>
      <c r="C282" s="80"/>
      <c r="D282" s="80"/>
      <c r="E282" s="80"/>
      <c r="F282" s="196"/>
      <c r="G282" s="196"/>
      <c r="H282" s="342"/>
      <c r="I282" s="150"/>
      <c r="J282" s="196" t="str">
        <f t="shared" si="13"/>
        <v>NB</v>
      </c>
      <c r="K282" s="80"/>
      <c r="L282" s="80"/>
      <c r="M282" s="80"/>
      <c r="N282" s="194"/>
      <c r="O282" s="194"/>
      <c r="P282" s="162">
        <f t="shared" si="12"/>
        <v>0</v>
      </c>
      <c r="Q282" s="80"/>
      <c r="R282" s="115" t="str">
        <f>IF(P282,(P282-Q282)/P282,"NB")</f>
        <v>NB</v>
      </c>
    </row>
    <row r="283" spans="1:18" s="79" customFormat="1" ht="15">
      <c r="A283" s="286" t="s">
        <v>553</v>
      </c>
      <c r="B283" s="56" t="s">
        <v>529</v>
      </c>
      <c r="C283" s="80"/>
      <c r="D283" s="80"/>
      <c r="E283" s="80"/>
      <c r="F283" s="196"/>
      <c r="G283" s="196"/>
      <c r="H283" s="342"/>
      <c r="I283" s="150"/>
      <c r="J283" s="196" t="str">
        <f t="shared" si="13"/>
        <v>NB</v>
      </c>
      <c r="K283" s="80"/>
      <c r="L283" s="80"/>
      <c r="M283" s="80"/>
      <c r="N283" s="194"/>
      <c r="O283" s="194"/>
      <c r="P283" s="162">
        <f t="shared" si="12"/>
        <v>0</v>
      </c>
      <c r="Q283" s="80"/>
      <c r="R283" s="115" t="str">
        <f>IF(P283,(P283-Q283)/P283,"NB")</f>
        <v>NB</v>
      </c>
    </row>
    <row r="284" spans="1:18" s="79" customFormat="1" ht="15.75">
      <c r="A284" s="287" t="s">
        <v>261</v>
      </c>
      <c r="B284" s="82" t="s">
        <v>530</v>
      </c>
      <c r="C284" s="80"/>
      <c r="D284" s="80"/>
      <c r="E284" s="80"/>
      <c r="F284" s="196"/>
      <c r="G284" s="239"/>
      <c r="H284" s="346">
        <f>H285+H286+H287</f>
        <v>45.339999999999996</v>
      </c>
      <c r="I284" s="150"/>
      <c r="J284" s="196">
        <f t="shared" si="13"/>
        <v>1</v>
      </c>
      <c r="K284" s="80"/>
      <c r="L284" s="80"/>
      <c r="M284" s="80"/>
      <c r="N284" s="194"/>
      <c r="O284" s="194"/>
      <c r="P284" s="162">
        <f t="shared" si="12"/>
        <v>45.339999999999996</v>
      </c>
      <c r="Q284" s="80"/>
      <c r="R284" s="115">
        <f>IF(P284,(P284-Q284)/P284,"NB")</f>
        <v>1</v>
      </c>
    </row>
    <row r="285" spans="1:18" s="79" customFormat="1" ht="15">
      <c r="A285" s="286" t="s">
        <v>554</v>
      </c>
      <c r="B285" s="56" t="s">
        <v>531</v>
      </c>
      <c r="C285" s="80"/>
      <c r="D285" s="80"/>
      <c r="E285" s="80"/>
      <c r="F285" s="196"/>
      <c r="G285" s="196"/>
      <c r="H285" s="342">
        <v>37.42</v>
      </c>
      <c r="I285" s="150"/>
      <c r="J285" s="196">
        <f t="shared" si="13"/>
        <v>1</v>
      </c>
      <c r="K285" s="80"/>
      <c r="L285" s="80"/>
      <c r="M285" s="80"/>
      <c r="N285" s="194"/>
      <c r="O285" s="194"/>
      <c r="P285" s="162">
        <f t="shared" si="12"/>
        <v>37.42</v>
      </c>
      <c r="Q285" s="80"/>
      <c r="R285" s="115">
        <f>IF(P285,(P285-Q285)/P285,"NB")</f>
        <v>1</v>
      </c>
    </row>
    <row r="286" spans="1:18" s="79" customFormat="1" ht="15">
      <c r="A286" s="286" t="s">
        <v>555</v>
      </c>
      <c r="B286" s="57" t="s">
        <v>532</v>
      </c>
      <c r="C286" s="80"/>
      <c r="D286" s="80"/>
      <c r="E286" s="80"/>
      <c r="F286" s="196"/>
      <c r="G286" s="196"/>
      <c r="H286" s="342">
        <v>5.8</v>
      </c>
      <c r="I286" s="150"/>
      <c r="J286" s="196">
        <f t="shared" si="13"/>
        <v>1</v>
      </c>
      <c r="K286" s="80"/>
      <c r="L286" s="80"/>
      <c r="M286" s="80"/>
      <c r="N286" s="194"/>
      <c r="O286" s="194"/>
      <c r="P286" s="162">
        <f t="shared" si="12"/>
        <v>5.8</v>
      </c>
      <c r="Q286" s="80"/>
      <c r="R286" s="115">
        <f>IF(P286,(P286-Q286)/P286,"NB")</f>
        <v>1</v>
      </c>
    </row>
    <row r="287" spans="1:18" s="79" customFormat="1" ht="15">
      <c r="A287" s="286" t="s">
        <v>556</v>
      </c>
      <c r="B287" s="57" t="s">
        <v>533</v>
      </c>
      <c r="C287" s="80"/>
      <c r="D287" s="80"/>
      <c r="E287" s="80"/>
      <c r="F287" s="196"/>
      <c r="G287" s="196"/>
      <c r="H287" s="342">
        <v>2.12</v>
      </c>
      <c r="I287" s="150"/>
      <c r="J287" s="196">
        <f t="shared" si="13"/>
        <v>1</v>
      </c>
      <c r="K287" s="80"/>
      <c r="L287" s="80"/>
      <c r="M287" s="80"/>
      <c r="N287" s="194"/>
      <c r="O287" s="194"/>
      <c r="P287" s="162">
        <f t="shared" si="12"/>
        <v>2.12</v>
      </c>
      <c r="Q287" s="80"/>
      <c r="R287" s="115">
        <f>IF(P287,(P287-Q287)/P287,"NB")</f>
        <v>1</v>
      </c>
    </row>
    <row r="288" spans="1:18" s="79" customFormat="1" ht="15.75">
      <c r="A288" s="287" t="s">
        <v>262</v>
      </c>
      <c r="B288" s="83" t="s">
        <v>534</v>
      </c>
      <c r="C288" s="80"/>
      <c r="D288" s="80"/>
      <c r="E288" s="80"/>
      <c r="F288" s="196"/>
      <c r="G288" s="196"/>
      <c r="H288" s="342">
        <f>1.26+H289+H290+H291</f>
        <v>32.28</v>
      </c>
      <c r="I288" s="150"/>
      <c r="J288" s="196">
        <f t="shared" si="13"/>
        <v>1</v>
      </c>
      <c r="K288" s="80"/>
      <c r="L288" s="80"/>
      <c r="M288" s="80"/>
      <c r="N288" s="194"/>
      <c r="O288" s="194"/>
      <c r="P288" s="162">
        <f t="shared" si="12"/>
        <v>32.28</v>
      </c>
      <c r="Q288" s="80"/>
      <c r="R288" s="115">
        <f>IF(P288,(P288-Q288)/P288,"NB")</f>
        <v>1</v>
      </c>
    </row>
    <row r="289" spans="1:18" s="79" customFormat="1" ht="15">
      <c r="A289" s="286" t="s">
        <v>557</v>
      </c>
      <c r="B289" s="57" t="s">
        <v>535</v>
      </c>
      <c r="C289" s="80"/>
      <c r="D289" s="80"/>
      <c r="E289" s="80"/>
      <c r="F289" s="196"/>
      <c r="G289" s="196"/>
      <c r="H289" s="342">
        <v>2.52</v>
      </c>
      <c r="I289" s="150"/>
      <c r="J289" s="196">
        <f t="shared" si="13"/>
        <v>1</v>
      </c>
      <c r="K289" s="80"/>
      <c r="L289" s="80"/>
      <c r="M289" s="80"/>
      <c r="N289" s="194"/>
      <c r="O289" s="194"/>
      <c r="P289" s="162">
        <f t="shared" si="12"/>
        <v>2.52</v>
      </c>
      <c r="Q289" s="80"/>
      <c r="R289" s="115">
        <f>IF(P289,(P289-Q289)/P289,"NB")</f>
        <v>1</v>
      </c>
    </row>
    <row r="290" spans="1:18" s="79" customFormat="1" ht="15">
      <c r="A290" s="286" t="s">
        <v>558</v>
      </c>
      <c r="B290" s="57" t="s">
        <v>536</v>
      </c>
      <c r="C290" s="80"/>
      <c r="D290" s="80"/>
      <c r="E290" s="80"/>
      <c r="F290" s="196"/>
      <c r="G290" s="196"/>
      <c r="H290" s="342">
        <v>16.26</v>
      </c>
      <c r="I290" s="150"/>
      <c r="J290" s="196">
        <f t="shared" si="13"/>
        <v>1</v>
      </c>
      <c r="K290" s="80"/>
      <c r="L290" s="80"/>
      <c r="M290" s="80"/>
      <c r="N290" s="194"/>
      <c r="O290" s="194"/>
      <c r="P290" s="162">
        <f t="shared" si="12"/>
        <v>16.26</v>
      </c>
      <c r="Q290" s="80"/>
      <c r="R290" s="115">
        <f>IF(P290,(P290-Q290)/P290,"NB")</f>
        <v>1</v>
      </c>
    </row>
    <row r="291" spans="1:18" s="79" customFormat="1" ht="15">
      <c r="A291" s="286" t="s">
        <v>559</v>
      </c>
      <c r="B291" s="57" t="s">
        <v>537</v>
      </c>
      <c r="C291" s="80"/>
      <c r="D291" s="80"/>
      <c r="E291" s="80"/>
      <c r="F291" s="196"/>
      <c r="G291" s="196"/>
      <c r="H291" s="342">
        <v>12.24</v>
      </c>
      <c r="I291" s="150"/>
      <c r="J291" s="196">
        <f t="shared" si="13"/>
        <v>1</v>
      </c>
      <c r="K291" s="80"/>
      <c r="L291" s="80"/>
      <c r="M291" s="80"/>
      <c r="N291" s="194"/>
      <c r="O291" s="194"/>
      <c r="P291" s="162">
        <f t="shared" si="12"/>
        <v>12.24</v>
      </c>
      <c r="Q291" s="80"/>
      <c r="R291" s="115">
        <f>IF(P291,(P291-Q291)/P291,"NB")</f>
        <v>1</v>
      </c>
    </row>
    <row r="292" spans="1:18" s="79" customFormat="1" ht="15">
      <c r="A292" s="286" t="s">
        <v>560</v>
      </c>
      <c r="B292" s="56" t="s">
        <v>179</v>
      </c>
      <c r="C292" s="80"/>
      <c r="D292" s="80"/>
      <c r="E292" s="80"/>
      <c r="F292" s="196"/>
      <c r="G292" s="196"/>
      <c r="H292" s="342"/>
      <c r="I292" s="150"/>
      <c r="J292" s="196" t="str">
        <f t="shared" si="13"/>
        <v>NB</v>
      </c>
      <c r="K292" s="80"/>
      <c r="L292" s="80"/>
      <c r="M292" s="80"/>
      <c r="N292" s="194"/>
      <c r="O292" s="194"/>
      <c r="P292" s="162">
        <f t="shared" si="12"/>
        <v>0</v>
      </c>
      <c r="Q292" s="80"/>
      <c r="R292" s="115" t="str">
        <f>IF(P292,(P292-Q292)/P292,"NB")</f>
        <v>NB</v>
      </c>
    </row>
    <row r="293" spans="1:18" s="79" customFormat="1" ht="15.75">
      <c r="A293" s="287" t="s">
        <v>263</v>
      </c>
      <c r="B293" s="82" t="s">
        <v>538</v>
      </c>
      <c r="C293" s="80"/>
      <c r="D293" s="80"/>
      <c r="E293" s="80"/>
      <c r="F293" s="196"/>
      <c r="G293" s="196"/>
      <c r="H293" s="342"/>
      <c r="I293" s="150"/>
      <c r="J293" s="196" t="str">
        <f t="shared" si="13"/>
        <v>NB</v>
      </c>
      <c r="K293" s="80"/>
      <c r="L293" s="80"/>
      <c r="M293" s="80"/>
      <c r="N293" s="194"/>
      <c r="O293" s="194"/>
      <c r="P293" s="162">
        <f t="shared" si="12"/>
        <v>0</v>
      </c>
      <c r="Q293" s="80"/>
      <c r="R293" s="115" t="str">
        <f>IF(P293,(P293-Q293)/P293,"NB")</f>
        <v>NB</v>
      </c>
    </row>
    <row r="294" spans="1:18" s="79" customFormat="1" ht="15">
      <c r="A294" s="286" t="s">
        <v>561</v>
      </c>
      <c r="B294" s="56" t="s">
        <v>539</v>
      </c>
      <c r="C294" s="80"/>
      <c r="D294" s="80"/>
      <c r="E294" s="80"/>
      <c r="F294" s="196"/>
      <c r="G294" s="196"/>
      <c r="H294" s="342"/>
      <c r="I294" s="150"/>
      <c r="J294" s="196" t="str">
        <f t="shared" si="13"/>
        <v>NB</v>
      </c>
      <c r="K294" s="80"/>
      <c r="L294" s="80"/>
      <c r="M294" s="80"/>
      <c r="N294" s="194"/>
      <c r="O294" s="194"/>
      <c r="P294" s="162">
        <f t="shared" si="12"/>
        <v>0</v>
      </c>
      <c r="Q294" s="80"/>
      <c r="R294" s="115" t="str">
        <f>IF(P294,(P294-Q294)/P294,"NB")</f>
        <v>NB</v>
      </c>
    </row>
    <row r="295" spans="1:18" s="79" customFormat="1" ht="15">
      <c r="A295" s="286" t="s">
        <v>562</v>
      </c>
      <c r="B295" s="56" t="s">
        <v>540</v>
      </c>
      <c r="C295" s="80"/>
      <c r="D295" s="80"/>
      <c r="E295" s="80"/>
      <c r="F295" s="196"/>
      <c r="G295" s="196"/>
      <c r="H295" s="342"/>
      <c r="I295" s="150"/>
      <c r="J295" s="196" t="str">
        <f t="shared" si="13"/>
        <v>NB</v>
      </c>
      <c r="K295" s="80"/>
      <c r="L295" s="80"/>
      <c r="M295" s="80"/>
      <c r="N295" s="194"/>
      <c r="O295" s="194"/>
      <c r="P295" s="162">
        <f t="shared" si="12"/>
        <v>0</v>
      </c>
      <c r="Q295" s="80"/>
      <c r="R295" s="115" t="str">
        <f>IF(P295,(P295-Q295)/P295,"NB")</f>
        <v>NB</v>
      </c>
    </row>
    <row r="296" spans="1:18" s="79" customFormat="1" ht="15.75">
      <c r="A296" s="287" t="s">
        <v>264</v>
      </c>
      <c r="B296" s="83" t="s">
        <v>541</v>
      </c>
      <c r="C296" s="80"/>
      <c r="D296" s="80"/>
      <c r="E296" s="80"/>
      <c r="F296" s="196"/>
      <c r="G296" s="196"/>
      <c r="H296" s="342"/>
      <c r="I296" s="150"/>
      <c r="J296" s="196" t="str">
        <f t="shared" si="13"/>
        <v>NB</v>
      </c>
      <c r="K296" s="80"/>
      <c r="L296" s="80"/>
      <c r="M296" s="80"/>
      <c r="N296" s="194"/>
      <c r="O296" s="194"/>
      <c r="P296" s="162">
        <f t="shared" si="12"/>
        <v>0</v>
      </c>
      <c r="Q296" s="80"/>
      <c r="R296" s="115" t="str">
        <f>IF(P296,(P296-Q296)/P296,"NB")</f>
        <v>NB</v>
      </c>
    </row>
    <row r="297" spans="1:18" ht="15.75">
      <c r="A297" s="287" t="s">
        <v>265</v>
      </c>
      <c r="B297" s="83" t="s">
        <v>542</v>
      </c>
      <c r="C297" s="84"/>
      <c r="D297" s="84"/>
      <c r="E297" s="84"/>
      <c r="F297" s="196"/>
      <c r="G297" s="196"/>
      <c r="H297" s="335"/>
      <c r="I297" s="148"/>
      <c r="J297" s="196" t="str">
        <f t="shared" si="13"/>
        <v>NB</v>
      </c>
      <c r="K297" s="84"/>
      <c r="L297" s="84"/>
      <c r="M297" s="84"/>
      <c r="N297" s="194"/>
      <c r="O297" s="194"/>
      <c r="P297" s="162">
        <f t="shared" si="12"/>
        <v>0</v>
      </c>
      <c r="Q297" s="84"/>
      <c r="R297" s="148" t="str">
        <f>IF(P297,(P297-Q297)/P297,"NB")</f>
        <v>NB</v>
      </c>
    </row>
    <row r="298" spans="1:18" ht="15.75">
      <c r="A298" s="287" t="s">
        <v>266</v>
      </c>
      <c r="B298" s="83" t="s">
        <v>543</v>
      </c>
      <c r="C298" s="56"/>
      <c r="D298" s="56"/>
      <c r="E298" s="56"/>
      <c r="F298" s="196"/>
      <c r="G298" s="196"/>
      <c r="H298" s="344"/>
      <c r="I298" s="149"/>
      <c r="J298" s="196" t="str">
        <f t="shared" si="13"/>
        <v>NB</v>
      </c>
      <c r="K298" s="56"/>
      <c r="L298" s="56"/>
      <c r="M298" s="56"/>
      <c r="N298" s="194"/>
      <c r="O298" s="194"/>
      <c r="P298" s="162">
        <f t="shared" si="12"/>
        <v>0</v>
      </c>
      <c r="Q298" s="56"/>
      <c r="R298" s="149" t="str">
        <f>IF(P298,(P298-Q298)/P298,"NB")</f>
        <v>NB</v>
      </c>
    </row>
    <row r="299" spans="1:18" ht="17.25" customHeight="1">
      <c r="A299" s="287" t="s">
        <v>267</v>
      </c>
      <c r="B299" s="83" t="s">
        <v>511</v>
      </c>
      <c r="C299" s="58"/>
      <c r="D299" s="58"/>
      <c r="E299" s="58"/>
      <c r="F299" s="196"/>
      <c r="G299" s="196"/>
      <c r="H299" s="347">
        <f>2.8+1.32+0.4+1.32+0.33</f>
        <v>6.170000000000001</v>
      </c>
      <c r="I299" s="151"/>
      <c r="J299" s="201">
        <f t="shared" si="13"/>
        <v>1</v>
      </c>
      <c r="K299" s="58"/>
      <c r="L299" s="58"/>
      <c r="M299" s="58"/>
      <c r="N299" s="194"/>
      <c r="O299" s="194"/>
      <c r="P299" s="162">
        <f t="shared" si="12"/>
        <v>6.170000000000001</v>
      </c>
      <c r="Q299" s="58"/>
      <c r="R299" s="151">
        <f>IF(P299,(P299-Q299)/P299,"NB")</f>
        <v>1</v>
      </c>
    </row>
    <row r="300" spans="1:18" ht="17.25" customHeight="1">
      <c r="A300" s="287" t="s">
        <v>986</v>
      </c>
      <c r="B300" s="83" t="s">
        <v>149</v>
      </c>
      <c r="C300" s="58"/>
      <c r="D300" s="58"/>
      <c r="E300" s="58"/>
      <c r="F300" s="196"/>
      <c r="G300" s="196"/>
      <c r="H300" s="347"/>
      <c r="I300" s="151"/>
      <c r="J300" s="201"/>
      <c r="K300" s="58"/>
      <c r="L300" s="58"/>
      <c r="M300" s="58"/>
      <c r="N300" s="194"/>
      <c r="O300" s="194"/>
      <c r="P300" s="162"/>
      <c r="Q300" s="58"/>
      <c r="R300" s="151"/>
    </row>
    <row r="301" spans="1:18" s="167" customFormat="1" ht="15.75">
      <c r="A301" s="267" t="s">
        <v>269</v>
      </c>
      <c r="B301" s="2" t="s">
        <v>270</v>
      </c>
      <c r="C301" s="125"/>
      <c r="D301" s="96"/>
      <c r="E301" s="96"/>
      <c r="F301" s="200"/>
      <c r="G301" s="200"/>
      <c r="H301" s="345">
        <f>H302+H374+H383+H390+H391+H392</f>
        <v>548</v>
      </c>
      <c r="I301" s="140">
        <f>I302+I374+I383+I390+I391+I392</f>
        <v>0</v>
      </c>
      <c r="J301" s="200">
        <f>IF(H301,(H301-I301)/H301,"NB")</f>
        <v>1</v>
      </c>
      <c r="K301" s="96"/>
      <c r="L301" s="96"/>
      <c r="M301" s="96"/>
      <c r="N301" s="197"/>
      <c r="O301" s="197"/>
      <c r="P301" s="158">
        <f t="shared" si="12"/>
        <v>548</v>
      </c>
      <c r="Q301" s="140">
        <f>Q302+Q374+Q383+Q390+Q391+Q392</f>
        <v>0</v>
      </c>
      <c r="R301" s="140">
        <f>IF(P301,(P301-Q301)/P301,"NB")</f>
        <v>1</v>
      </c>
    </row>
    <row r="302" spans="1:18" s="167" customFormat="1" ht="15.75">
      <c r="A302" s="288" t="s">
        <v>401</v>
      </c>
      <c r="B302" s="123" t="s">
        <v>640</v>
      </c>
      <c r="C302" s="126"/>
      <c r="D302" s="126"/>
      <c r="E302" s="126"/>
      <c r="F302" s="196"/>
      <c r="G302" s="196"/>
      <c r="H302" s="348">
        <f>H303+H324+H337+H350+H366</f>
        <v>208</v>
      </c>
      <c r="I302" s="141">
        <f>I303+I324+I337+I350+I366</f>
        <v>0</v>
      </c>
      <c r="J302" s="196">
        <f>IF(H302,(H302-I302)/H302,"NB")</f>
        <v>1</v>
      </c>
      <c r="K302" s="126"/>
      <c r="L302" s="126"/>
      <c r="M302" s="126"/>
      <c r="N302" s="194"/>
      <c r="O302" s="194"/>
      <c r="P302" s="157">
        <f t="shared" si="12"/>
        <v>208</v>
      </c>
      <c r="Q302" s="141">
        <f>Q303+Q324+Q337+Q350+Q366</f>
        <v>0</v>
      </c>
      <c r="R302" s="141">
        <f>IF(P302,(P302-Q302)/P302,"NB")</f>
        <v>1</v>
      </c>
    </row>
    <row r="303" spans="1:18" s="167" customFormat="1" ht="15.75">
      <c r="A303" s="121" t="s">
        <v>692</v>
      </c>
      <c r="B303" s="124" t="s">
        <v>397</v>
      </c>
      <c r="C303" s="50"/>
      <c r="D303" s="126"/>
      <c r="E303" s="126"/>
      <c r="F303" s="196"/>
      <c r="G303" s="196"/>
      <c r="H303" s="348">
        <f>SUM(H305:H323)</f>
        <v>161</v>
      </c>
      <c r="I303" s="141">
        <f>SUM(I305:I323)</f>
        <v>0</v>
      </c>
      <c r="J303" s="196">
        <f>IF(H303,(H303-I303)/H303,"NB")</f>
        <v>1</v>
      </c>
      <c r="K303" s="126"/>
      <c r="L303" s="126"/>
      <c r="M303" s="126"/>
      <c r="N303" s="194"/>
      <c r="O303" s="194"/>
      <c r="P303" s="157">
        <f t="shared" si="12"/>
        <v>161</v>
      </c>
      <c r="Q303" s="141">
        <f>SUM(Q305:Q323)</f>
        <v>0</v>
      </c>
      <c r="R303" s="141">
        <f>IF(P303,(P303-Q303)/P303,"NB")</f>
        <v>1</v>
      </c>
    </row>
    <row r="304" spans="1:18" s="167" customFormat="1" ht="15.75">
      <c r="A304" s="210" t="s">
        <v>693</v>
      </c>
      <c r="B304" s="56" t="s">
        <v>862</v>
      </c>
      <c r="C304" s="50"/>
      <c r="D304" s="126"/>
      <c r="E304" s="126"/>
      <c r="F304" s="196"/>
      <c r="G304" s="196"/>
      <c r="H304" s="348"/>
      <c r="I304" s="141"/>
      <c r="J304" s="196"/>
      <c r="K304" s="126"/>
      <c r="L304" s="126"/>
      <c r="M304" s="126"/>
      <c r="N304" s="194"/>
      <c r="O304" s="194"/>
      <c r="P304" s="157"/>
      <c r="Q304" s="141"/>
      <c r="R304" s="141"/>
    </row>
    <row r="305" spans="1:18" ht="15.75">
      <c r="A305" s="289" t="s">
        <v>863</v>
      </c>
      <c r="B305" s="56" t="s">
        <v>652</v>
      </c>
      <c r="C305" s="50"/>
      <c r="D305" s="50"/>
      <c r="E305" s="50"/>
      <c r="F305" s="196"/>
      <c r="G305" s="196"/>
      <c r="H305" s="348">
        <v>20</v>
      </c>
      <c r="I305" s="126"/>
      <c r="J305" s="196">
        <f aca="true" t="shared" si="14" ref="J305:J336">IF(H305,(H305-I305)/H305,"NB")</f>
        <v>1</v>
      </c>
      <c r="K305" s="50"/>
      <c r="L305" s="50"/>
      <c r="M305" s="50"/>
      <c r="N305" s="194"/>
      <c r="O305" s="194"/>
      <c r="P305" s="162">
        <f t="shared" si="12"/>
        <v>20</v>
      </c>
      <c r="Q305" s="50"/>
      <c r="R305" s="202">
        <f>IF(P305,(P305-Q305)/P305,"NB")</f>
        <v>1</v>
      </c>
    </row>
    <row r="306" spans="1:18" ht="15.75">
      <c r="A306" s="289" t="s">
        <v>864</v>
      </c>
      <c r="B306" s="229" t="s">
        <v>829</v>
      </c>
      <c r="C306" s="50"/>
      <c r="D306" s="50"/>
      <c r="E306" s="50"/>
      <c r="F306" s="196"/>
      <c r="G306" s="196"/>
      <c r="H306" s="348"/>
      <c r="I306" s="126"/>
      <c r="J306" s="196" t="str">
        <f t="shared" si="14"/>
        <v>NB</v>
      </c>
      <c r="K306" s="50"/>
      <c r="L306" s="50"/>
      <c r="M306" s="50"/>
      <c r="N306" s="194"/>
      <c r="O306" s="194"/>
      <c r="P306" s="162">
        <f>H306</f>
        <v>0</v>
      </c>
      <c r="Q306" s="50"/>
      <c r="R306" s="202" t="str">
        <f>IF(P306,(P306-Q306)/P306,"NB")</f>
        <v>NB</v>
      </c>
    </row>
    <row r="307" spans="1:18" ht="28.5">
      <c r="A307" s="289" t="s">
        <v>865</v>
      </c>
      <c r="B307" s="229" t="s">
        <v>830</v>
      </c>
      <c r="C307" s="50"/>
      <c r="D307" s="50"/>
      <c r="E307" s="50"/>
      <c r="F307" s="196"/>
      <c r="G307" s="196"/>
      <c r="H307" s="348"/>
      <c r="I307" s="126"/>
      <c r="J307" s="196" t="str">
        <f t="shared" si="14"/>
        <v>NB</v>
      </c>
      <c r="K307" s="50"/>
      <c r="L307" s="50"/>
      <c r="M307" s="50"/>
      <c r="N307" s="194"/>
      <c r="O307" s="194"/>
      <c r="P307" s="162">
        <f>H307</f>
        <v>0</v>
      </c>
      <c r="Q307" s="50"/>
      <c r="R307" s="202" t="str">
        <f>IF(P307,(P307-Q307)/P307,"NB")</f>
        <v>NB</v>
      </c>
    </row>
    <row r="308" spans="1:18" ht="28.5">
      <c r="A308" s="289" t="s">
        <v>866</v>
      </c>
      <c r="B308" s="229" t="s">
        <v>831</v>
      </c>
      <c r="C308" s="50"/>
      <c r="D308" s="50"/>
      <c r="E308" s="50"/>
      <c r="F308" s="196"/>
      <c r="G308" s="196"/>
      <c r="H308" s="348"/>
      <c r="I308" s="126"/>
      <c r="J308" s="196" t="str">
        <f t="shared" si="14"/>
        <v>NB</v>
      </c>
      <c r="K308" s="50"/>
      <c r="L308" s="50"/>
      <c r="M308" s="50"/>
      <c r="N308" s="194"/>
      <c r="O308" s="194"/>
      <c r="P308" s="162">
        <f>H308</f>
        <v>0</v>
      </c>
      <c r="Q308" s="50"/>
      <c r="R308" s="202" t="str">
        <f>IF(P308,(P308-Q308)/P308,"NB")</f>
        <v>NB</v>
      </c>
    </row>
    <row r="309" spans="1:18" ht="57">
      <c r="A309" s="289" t="s">
        <v>867</v>
      </c>
      <c r="B309" s="230" t="s">
        <v>832</v>
      </c>
      <c r="C309" s="50"/>
      <c r="D309" s="50"/>
      <c r="E309" s="50"/>
      <c r="F309" s="196"/>
      <c r="G309" s="196"/>
      <c r="H309" s="348"/>
      <c r="I309" s="126"/>
      <c r="J309" s="196" t="str">
        <f t="shared" si="14"/>
        <v>NB</v>
      </c>
      <c r="K309" s="50"/>
      <c r="L309" s="50"/>
      <c r="M309" s="50"/>
      <c r="N309" s="194"/>
      <c r="O309" s="194"/>
      <c r="P309" s="162">
        <f>H309</f>
        <v>0</v>
      </c>
      <c r="Q309" s="50"/>
      <c r="R309" s="202" t="str">
        <f>IF(P309,(P309-Q309)/P309,"NB")</f>
        <v>NB</v>
      </c>
    </row>
    <row r="310" spans="1:18" ht="15.75">
      <c r="A310" s="210" t="s">
        <v>696</v>
      </c>
      <c r="B310" s="56" t="s">
        <v>653</v>
      </c>
      <c r="C310" s="50"/>
      <c r="D310" s="50"/>
      <c r="E310" s="50"/>
      <c r="F310" s="196"/>
      <c r="G310" s="196"/>
      <c r="H310" s="348">
        <v>10</v>
      </c>
      <c r="I310" s="126"/>
      <c r="J310" s="196">
        <f t="shared" si="14"/>
        <v>1</v>
      </c>
      <c r="K310" s="50"/>
      <c r="L310" s="50"/>
      <c r="M310" s="50"/>
      <c r="N310" s="194"/>
      <c r="O310" s="194"/>
      <c r="P310" s="162">
        <f t="shared" si="12"/>
        <v>10</v>
      </c>
      <c r="Q310" s="50"/>
      <c r="R310" s="202">
        <f>IF(P310,(P310-Q310)/P310,"NB")</f>
        <v>1</v>
      </c>
    </row>
    <row r="311" spans="1:18" ht="15.75">
      <c r="A311" s="210" t="s">
        <v>697</v>
      </c>
      <c r="B311" s="56" t="s">
        <v>654</v>
      </c>
      <c r="C311" s="50"/>
      <c r="D311" s="50"/>
      <c r="E311" s="50"/>
      <c r="F311" s="196"/>
      <c r="G311" s="196"/>
      <c r="H311" s="348">
        <v>100</v>
      </c>
      <c r="I311" s="126"/>
      <c r="J311" s="196">
        <f t="shared" si="14"/>
        <v>1</v>
      </c>
      <c r="K311" s="50"/>
      <c r="L311" s="50"/>
      <c r="M311" s="50"/>
      <c r="N311" s="194"/>
      <c r="O311" s="194"/>
      <c r="P311" s="162">
        <f t="shared" si="12"/>
        <v>100</v>
      </c>
      <c r="Q311" s="50"/>
      <c r="R311" s="202">
        <f>IF(P311,(P311-Q311)/P311,"NB")</f>
        <v>1</v>
      </c>
    </row>
    <row r="312" spans="1:18" ht="15.75">
      <c r="A312" s="289" t="s">
        <v>894</v>
      </c>
      <c r="B312" s="229" t="s">
        <v>833</v>
      </c>
      <c r="C312" s="50"/>
      <c r="D312" s="50"/>
      <c r="E312" s="50"/>
      <c r="F312" s="196"/>
      <c r="G312" s="196"/>
      <c r="H312" s="348"/>
      <c r="I312" s="126"/>
      <c r="J312" s="196" t="str">
        <f t="shared" si="14"/>
        <v>NB</v>
      </c>
      <c r="K312" s="50"/>
      <c r="L312" s="50"/>
      <c r="M312" s="50"/>
      <c r="N312" s="194"/>
      <c r="O312" s="194"/>
      <c r="P312" s="162">
        <f>H312</f>
        <v>0</v>
      </c>
      <c r="Q312" s="50"/>
      <c r="R312" s="202" t="str">
        <f>IF(P312,(P312-Q312)/P312,"NB")</f>
        <v>NB</v>
      </c>
    </row>
    <row r="313" spans="1:18" ht="15.75">
      <c r="A313" s="289" t="s">
        <v>895</v>
      </c>
      <c r="B313" s="229" t="s">
        <v>834</v>
      </c>
      <c r="C313" s="50"/>
      <c r="D313" s="50"/>
      <c r="E313" s="50"/>
      <c r="F313" s="196"/>
      <c r="G313" s="196"/>
      <c r="H313" s="348"/>
      <c r="I313" s="126"/>
      <c r="J313" s="196" t="str">
        <f t="shared" si="14"/>
        <v>NB</v>
      </c>
      <c r="K313" s="50"/>
      <c r="L313" s="50"/>
      <c r="M313" s="50"/>
      <c r="N313" s="194"/>
      <c r="O313" s="194"/>
      <c r="P313" s="162">
        <f>H313</f>
        <v>0</v>
      </c>
      <c r="Q313" s="50"/>
      <c r="R313" s="202" t="str">
        <f>IF(P313,(P313-Q313)/P313,"NB")</f>
        <v>NB</v>
      </c>
    </row>
    <row r="314" spans="1:18" ht="15.75">
      <c r="A314" s="289" t="s">
        <v>896</v>
      </c>
      <c r="B314" s="229" t="s">
        <v>835</v>
      </c>
      <c r="C314" s="50"/>
      <c r="D314" s="50"/>
      <c r="E314" s="50"/>
      <c r="F314" s="196"/>
      <c r="G314" s="196"/>
      <c r="H314" s="348"/>
      <c r="I314" s="126"/>
      <c r="J314" s="196" t="str">
        <f t="shared" si="14"/>
        <v>NB</v>
      </c>
      <c r="K314" s="50"/>
      <c r="L314" s="50"/>
      <c r="M314" s="50"/>
      <c r="N314" s="194"/>
      <c r="O314" s="194"/>
      <c r="P314" s="162">
        <f>H314</f>
        <v>0</v>
      </c>
      <c r="Q314" s="50"/>
      <c r="R314" s="202" t="str">
        <f>IF(P314,(P314-Q314)/P314,"NB")</f>
        <v>NB</v>
      </c>
    </row>
    <row r="315" spans="1:18" ht="35.25" customHeight="1">
      <c r="A315" s="210" t="s">
        <v>698</v>
      </c>
      <c r="B315" s="56" t="s">
        <v>655</v>
      </c>
      <c r="C315" s="50"/>
      <c r="D315" s="50"/>
      <c r="E315" s="50"/>
      <c r="F315" s="196"/>
      <c r="G315" s="196"/>
      <c r="H315" s="348">
        <v>15</v>
      </c>
      <c r="I315" s="126"/>
      <c r="J315" s="196">
        <f t="shared" si="14"/>
        <v>1</v>
      </c>
      <c r="K315" s="50"/>
      <c r="L315" s="50"/>
      <c r="M315" s="50"/>
      <c r="N315" s="194"/>
      <c r="O315" s="194"/>
      <c r="P315" s="162">
        <f t="shared" si="12"/>
        <v>15</v>
      </c>
      <c r="Q315" s="50"/>
      <c r="R315" s="202">
        <f>IF(P315,(P315-Q315)/P315,"NB")</f>
        <v>1</v>
      </c>
    </row>
    <row r="316" spans="1:18" ht="15.75">
      <c r="A316" s="210" t="s">
        <v>699</v>
      </c>
      <c r="B316" s="56" t="s">
        <v>656</v>
      </c>
      <c r="C316" s="50"/>
      <c r="D316" s="50"/>
      <c r="E316" s="50"/>
      <c r="F316" s="196"/>
      <c r="G316" s="196"/>
      <c r="H316" s="348">
        <v>8</v>
      </c>
      <c r="I316" s="126"/>
      <c r="J316" s="196">
        <f t="shared" si="14"/>
        <v>1</v>
      </c>
      <c r="K316" s="50"/>
      <c r="L316" s="50"/>
      <c r="M316" s="50"/>
      <c r="N316" s="194"/>
      <c r="O316" s="194"/>
      <c r="P316" s="162">
        <f t="shared" si="12"/>
        <v>8</v>
      </c>
      <c r="Q316" s="50"/>
      <c r="R316" s="202">
        <f>IF(P316,(P316-Q316)/P316,"NB")</f>
        <v>1</v>
      </c>
    </row>
    <row r="317" spans="1:18" ht="15.75">
      <c r="A317" s="210" t="s">
        <v>700</v>
      </c>
      <c r="B317" s="56" t="s">
        <v>657</v>
      </c>
      <c r="C317" s="50"/>
      <c r="D317" s="50"/>
      <c r="E317" s="50"/>
      <c r="F317" s="196"/>
      <c r="G317" s="196"/>
      <c r="H317" s="348"/>
      <c r="I317" s="126"/>
      <c r="J317" s="196" t="str">
        <f t="shared" si="14"/>
        <v>NB</v>
      </c>
      <c r="K317" s="50"/>
      <c r="L317" s="50"/>
      <c r="M317" s="50"/>
      <c r="N317" s="194"/>
      <c r="O317" s="194"/>
      <c r="P317" s="162">
        <f t="shared" si="12"/>
        <v>0</v>
      </c>
      <c r="Q317" s="50"/>
      <c r="R317" s="202" t="str">
        <f>IF(P317,(P317-Q317)/P317,"NB")</f>
        <v>NB</v>
      </c>
    </row>
    <row r="318" spans="1:18" ht="15.75">
      <c r="A318" s="210" t="s">
        <v>701</v>
      </c>
      <c r="B318" s="56" t="s">
        <v>658</v>
      </c>
      <c r="C318" s="50"/>
      <c r="D318" s="50"/>
      <c r="E318" s="50"/>
      <c r="F318" s="196"/>
      <c r="G318" s="196"/>
      <c r="H318" s="348">
        <v>8</v>
      </c>
      <c r="I318" s="126"/>
      <c r="J318" s="196">
        <f t="shared" si="14"/>
        <v>1</v>
      </c>
      <c r="K318" s="50"/>
      <c r="L318" s="50"/>
      <c r="M318" s="50"/>
      <c r="N318" s="194"/>
      <c r="O318" s="194"/>
      <c r="P318" s="162">
        <f t="shared" si="12"/>
        <v>8</v>
      </c>
      <c r="Q318" s="50"/>
      <c r="R318" s="202">
        <f>IF(P318,(P318-Q318)/P318,"NB")</f>
        <v>1</v>
      </c>
    </row>
    <row r="319" spans="1:18" ht="15.75">
      <c r="A319" s="289" t="s">
        <v>791</v>
      </c>
      <c r="B319" s="229" t="s">
        <v>836</v>
      </c>
      <c r="C319" s="50"/>
      <c r="D319" s="50"/>
      <c r="E319" s="50"/>
      <c r="F319" s="196"/>
      <c r="G319" s="196"/>
      <c r="H319" s="348"/>
      <c r="I319" s="126"/>
      <c r="J319" s="196" t="str">
        <f t="shared" si="14"/>
        <v>NB</v>
      </c>
      <c r="K319" s="50"/>
      <c r="L319" s="50"/>
      <c r="M319" s="50"/>
      <c r="N319" s="194"/>
      <c r="O319" s="194"/>
      <c r="P319" s="162">
        <f>H319</f>
        <v>0</v>
      </c>
      <c r="Q319" s="50"/>
      <c r="R319" s="202" t="str">
        <f>IF(P319,(P319-Q319)/P319,"NB")</f>
        <v>NB</v>
      </c>
    </row>
    <row r="320" spans="1:18" ht="28.5">
      <c r="A320" s="289" t="s">
        <v>868</v>
      </c>
      <c r="B320" s="231" t="s">
        <v>837</v>
      </c>
      <c r="C320" s="50"/>
      <c r="D320" s="50"/>
      <c r="E320" s="50"/>
      <c r="F320" s="196"/>
      <c r="G320" s="196"/>
      <c r="H320" s="348"/>
      <c r="I320" s="126"/>
      <c r="J320" s="196" t="str">
        <f t="shared" si="14"/>
        <v>NB</v>
      </c>
      <c r="K320" s="50"/>
      <c r="L320" s="50"/>
      <c r="M320" s="50"/>
      <c r="N320" s="194"/>
      <c r="O320" s="194"/>
      <c r="P320" s="162">
        <f>H320</f>
        <v>0</v>
      </c>
      <c r="Q320" s="50"/>
      <c r="R320" s="202" t="str">
        <f>IF(P320,(P320-Q320)/P320,"NB")</f>
        <v>NB</v>
      </c>
    </row>
    <row r="321" spans="1:18" ht="15.75">
      <c r="A321" s="289" t="s">
        <v>869</v>
      </c>
      <c r="B321" s="231" t="s">
        <v>838</v>
      </c>
      <c r="C321" s="50"/>
      <c r="D321" s="50"/>
      <c r="E321" s="50"/>
      <c r="F321" s="196"/>
      <c r="G321" s="196"/>
      <c r="H321" s="348"/>
      <c r="I321" s="126"/>
      <c r="J321" s="196" t="str">
        <f t="shared" si="14"/>
        <v>NB</v>
      </c>
      <c r="K321" s="50"/>
      <c r="L321" s="50"/>
      <c r="M321" s="50"/>
      <c r="N321" s="194"/>
      <c r="O321" s="194"/>
      <c r="P321" s="162">
        <f>H321</f>
        <v>0</v>
      </c>
      <c r="Q321" s="50"/>
      <c r="R321" s="202" t="str">
        <f>IF(P321,(P321-Q321)/P321,"NB")</f>
        <v>NB</v>
      </c>
    </row>
    <row r="322" spans="1:18" ht="15.75">
      <c r="A322" s="289" t="s">
        <v>870</v>
      </c>
      <c r="B322" s="229" t="s">
        <v>839</v>
      </c>
      <c r="C322" s="50"/>
      <c r="D322" s="50"/>
      <c r="E322" s="50"/>
      <c r="F322" s="196"/>
      <c r="G322" s="196"/>
      <c r="H322" s="348"/>
      <c r="I322" s="126"/>
      <c r="J322" s="196" t="str">
        <f t="shared" si="14"/>
        <v>NB</v>
      </c>
      <c r="K322" s="50"/>
      <c r="L322" s="50"/>
      <c r="M322" s="50"/>
      <c r="N322" s="194"/>
      <c r="O322" s="194"/>
      <c r="P322" s="162">
        <f>H322</f>
        <v>0</v>
      </c>
      <c r="Q322" s="50"/>
      <c r="R322" s="202" t="str">
        <f>IF(P322,(P322-Q322)/P322,"NB")</f>
        <v>NB</v>
      </c>
    </row>
    <row r="323" spans="1:18" ht="15.75">
      <c r="A323" s="210" t="s">
        <v>871</v>
      </c>
      <c r="B323" s="56" t="s">
        <v>790</v>
      </c>
      <c r="C323" s="50"/>
      <c r="D323" s="50"/>
      <c r="E323" s="50"/>
      <c r="F323" s="196"/>
      <c r="G323" s="196"/>
      <c r="H323" s="348"/>
      <c r="I323" s="126"/>
      <c r="J323" s="196" t="str">
        <f t="shared" si="14"/>
        <v>NB</v>
      </c>
      <c r="K323" s="50"/>
      <c r="L323" s="50"/>
      <c r="M323" s="50"/>
      <c r="N323" s="194"/>
      <c r="O323" s="194"/>
      <c r="P323" s="162">
        <f t="shared" si="12"/>
        <v>0</v>
      </c>
      <c r="Q323" s="50"/>
      <c r="R323" s="202" t="str">
        <f>IF(P323,(P323-Q323)/P323,"NB")</f>
        <v>NB</v>
      </c>
    </row>
    <row r="324" spans="1:65" s="185" customFormat="1" ht="15.75">
      <c r="A324" s="121" t="s">
        <v>702</v>
      </c>
      <c r="B324" s="124" t="s">
        <v>659</v>
      </c>
      <c r="C324" s="11"/>
      <c r="D324" s="189"/>
      <c r="E324" s="189"/>
      <c r="F324" s="199"/>
      <c r="G324" s="199"/>
      <c r="H324" s="349">
        <f>SUM(H326:H336)</f>
        <v>33</v>
      </c>
      <c r="I324" s="190">
        <f>SUM(I325:I336)</f>
        <v>0</v>
      </c>
      <c r="J324" s="199">
        <f t="shared" si="14"/>
        <v>1</v>
      </c>
      <c r="K324" s="189"/>
      <c r="L324" s="189"/>
      <c r="M324" s="189"/>
      <c r="N324" s="198"/>
      <c r="O324" s="198"/>
      <c r="P324" s="134">
        <f t="shared" si="12"/>
        <v>33</v>
      </c>
      <c r="Q324" s="190">
        <f>SUM(Q325:Q336)</f>
        <v>0</v>
      </c>
      <c r="R324" s="190">
        <f>IF(P324,(P324-Q324)/P324,"NB")</f>
        <v>1</v>
      </c>
      <c r="S324" s="167"/>
      <c r="T324" s="167"/>
      <c r="U324" s="167"/>
      <c r="V324" s="167"/>
      <c r="W324" s="167"/>
      <c r="X324" s="167"/>
      <c r="Y324" s="167"/>
      <c r="Z324" s="167"/>
      <c r="AA324" s="167"/>
      <c r="AB324" s="167"/>
      <c r="AC324" s="167"/>
      <c r="AD324" s="167"/>
      <c r="AE324" s="167"/>
      <c r="AF324" s="167"/>
      <c r="AG324" s="167"/>
      <c r="AH324" s="167"/>
      <c r="AI324" s="167"/>
      <c r="AJ324" s="167"/>
      <c r="AK324" s="167"/>
      <c r="AL324" s="167"/>
      <c r="AM324" s="167"/>
      <c r="AN324" s="167"/>
      <c r="AO324" s="167"/>
      <c r="AP324" s="167"/>
      <c r="AQ324" s="167"/>
      <c r="AR324" s="167"/>
      <c r="AS324" s="167"/>
      <c r="AT324" s="167"/>
      <c r="AU324" s="167"/>
      <c r="AV324" s="167"/>
      <c r="AW324" s="167"/>
      <c r="AX324" s="167"/>
      <c r="AY324" s="167"/>
      <c r="AZ324" s="167"/>
      <c r="BA324" s="167"/>
      <c r="BB324" s="167"/>
      <c r="BC324" s="167"/>
      <c r="BD324" s="167"/>
      <c r="BE324" s="167"/>
      <c r="BF324" s="167"/>
      <c r="BG324" s="167"/>
      <c r="BH324" s="167"/>
      <c r="BI324" s="167"/>
      <c r="BJ324" s="167"/>
      <c r="BK324" s="167"/>
      <c r="BL324" s="167"/>
      <c r="BM324" s="167"/>
    </row>
    <row r="325" spans="1:18" ht="30">
      <c r="A325" s="210" t="s">
        <v>703</v>
      </c>
      <c r="B325" s="56" t="s">
        <v>660</v>
      </c>
      <c r="C325" s="50"/>
      <c r="D325" s="50"/>
      <c r="E325" s="50"/>
      <c r="F325" s="196"/>
      <c r="G325" s="196"/>
      <c r="I325" s="126"/>
      <c r="J325" s="196">
        <f>IF(H327,(H327-I325)/H327,"NB")</f>
        <v>1</v>
      </c>
      <c r="K325" s="50"/>
      <c r="L325" s="50"/>
      <c r="M325" s="50"/>
      <c r="N325" s="194"/>
      <c r="O325" s="194"/>
      <c r="P325" s="162">
        <f>H327</f>
        <v>2</v>
      </c>
      <c r="Q325" s="50"/>
      <c r="R325" s="202">
        <f>IF(P325,(P325-Q325)/P325,"NB")</f>
        <v>1</v>
      </c>
    </row>
    <row r="326" spans="1:18" ht="20.25" customHeight="1">
      <c r="A326" s="210" t="s">
        <v>792</v>
      </c>
      <c r="B326" s="56" t="s">
        <v>694</v>
      </c>
      <c r="C326" s="50"/>
      <c r="D326" s="50"/>
      <c r="E326" s="50"/>
      <c r="F326" s="196"/>
      <c r="G326" s="196"/>
      <c r="H326" s="348"/>
      <c r="I326" s="126"/>
      <c r="J326" s="196" t="str">
        <f t="shared" si="14"/>
        <v>NB</v>
      </c>
      <c r="K326" s="50"/>
      <c r="L326" s="50"/>
      <c r="M326" s="50"/>
      <c r="N326" s="194"/>
      <c r="O326" s="194"/>
      <c r="P326" s="162">
        <f t="shared" si="12"/>
        <v>0</v>
      </c>
      <c r="Q326" s="50"/>
      <c r="R326" s="202" t="str">
        <f>IF(P326,(P326-Q326)/P326,"NB")</f>
        <v>NB</v>
      </c>
    </row>
    <row r="327" spans="1:18" ht="23.25" customHeight="1">
      <c r="A327" s="210" t="s">
        <v>793</v>
      </c>
      <c r="B327" s="56" t="s">
        <v>695</v>
      </c>
      <c r="C327" s="50"/>
      <c r="D327" s="50"/>
      <c r="E327" s="50"/>
      <c r="F327" s="196"/>
      <c r="G327" s="196"/>
      <c r="H327" s="348">
        <v>2</v>
      </c>
      <c r="I327" s="126"/>
      <c r="J327" s="196" t="e">
        <f>IF(#REF!,(#REF!-I327)/#REF!,"NB")</f>
        <v>#REF!</v>
      </c>
      <c r="K327" s="50"/>
      <c r="L327" s="50"/>
      <c r="M327" s="50"/>
      <c r="N327" s="194"/>
      <c r="O327" s="194"/>
      <c r="P327" s="162"/>
      <c r="Q327" s="50"/>
      <c r="R327" s="202" t="str">
        <f>IF(P327,(P327-Q327)/P327,"NB")</f>
        <v>NB</v>
      </c>
    </row>
    <row r="328" spans="1:18" ht="23.25" customHeight="1">
      <c r="A328" s="269" t="s">
        <v>872</v>
      </c>
      <c r="B328" s="232" t="s">
        <v>840</v>
      </c>
      <c r="C328" s="50"/>
      <c r="D328" s="50"/>
      <c r="E328" s="50"/>
      <c r="F328" s="196"/>
      <c r="G328" s="196"/>
      <c r="H328" s="348">
        <v>5</v>
      </c>
      <c r="I328" s="126"/>
      <c r="J328" s="196">
        <f t="shared" si="14"/>
        <v>1</v>
      </c>
      <c r="K328" s="50"/>
      <c r="L328" s="50"/>
      <c r="M328" s="50"/>
      <c r="N328" s="194"/>
      <c r="O328" s="194"/>
      <c r="P328" s="162"/>
      <c r="Q328" s="50"/>
      <c r="R328" s="202"/>
    </row>
    <row r="329" spans="1:18" ht="60">
      <c r="A329" s="210" t="s">
        <v>704</v>
      </c>
      <c r="B329" s="56" t="s">
        <v>661</v>
      </c>
      <c r="C329" s="50"/>
      <c r="D329" s="50"/>
      <c r="E329" s="50"/>
      <c r="F329" s="196"/>
      <c r="G329" s="196"/>
      <c r="H329" s="348"/>
      <c r="I329" s="126"/>
      <c r="J329" s="196" t="str">
        <f t="shared" si="14"/>
        <v>NB</v>
      </c>
      <c r="K329" s="50"/>
      <c r="L329" s="50"/>
      <c r="M329" s="50"/>
      <c r="N329" s="194"/>
      <c r="O329" s="194"/>
      <c r="P329" s="162">
        <f t="shared" si="12"/>
        <v>0</v>
      </c>
      <c r="Q329" s="50"/>
      <c r="R329" s="202" t="str">
        <f>IF(P329,(P329-Q329)/P329,"NB")</f>
        <v>NB</v>
      </c>
    </row>
    <row r="330" spans="1:18" ht="30">
      <c r="A330" s="210" t="s">
        <v>705</v>
      </c>
      <c r="B330" s="56" t="s">
        <v>429</v>
      </c>
      <c r="C330" s="50"/>
      <c r="D330" s="50"/>
      <c r="E330" s="50"/>
      <c r="F330" s="196"/>
      <c r="G330" s="196"/>
      <c r="H330" s="348">
        <v>4</v>
      </c>
      <c r="I330" s="126"/>
      <c r="J330" s="196">
        <f t="shared" si="14"/>
        <v>1</v>
      </c>
      <c r="K330" s="50"/>
      <c r="L330" s="50"/>
      <c r="M330" s="50"/>
      <c r="N330" s="194"/>
      <c r="O330" s="194"/>
      <c r="P330" s="162">
        <f t="shared" si="12"/>
        <v>4</v>
      </c>
      <c r="Q330" s="50"/>
      <c r="R330" s="202">
        <f>IF(P330,(P330-Q330)/P330,"NB")</f>
        <v>1</v>
      </c>
    </row>
    <row r="331" spans="1:18" ht="15.75">
      <c r="A331" s="210" t="s">
        <v>706</v>
      </c>
      <c r="B331" s="56" t="s">
        <v>662</v>
      </c>
      <c r="C331" s="50"/>
      <c r="D331" s="50"/>
      <c r="E331" s="50"/>
      <c r="F331" s="196"/>
      <c r="G331" s="196"/>
      <c r="H331" s="348">
        <v>2</v>
      </c>
      <c r="I331" s="126"/>
      <c r="J331" s="196">
        <f t="shared" si="14"/>
        <v>1</v>
      </c>
      <c r="K331" s="50"/>
      <c r="L331" s="50"/>
      <c r="M331" s="50"/>
      <c r="N331" s="194"/>
      <c r="O331" s="194"/>
      <c r="P331" s="162">
        <f aca="true" t="shared" si="15" ref="P331:P443">H331</f>
        <v>2</v>
      </c>
      <c r="Q331" s="50"/>
      <c r="R331" s="202">
        <f>IF(P331,(P331-Q331)/P331,"NB")</f>
        <v>1</v>
      </c>
    </row>
    <row r="332" spans="1:18" ht="15.75">
      <c r="A332" s="289" t="s">
        <v>707</v>
      </c>
      <c r="B332" s="232" t="s">
        <v>841</v>
      </c>
      <c r="C332" s="50"/>
      <c r="D332" s="50"/>
      <c r="E332" s="50"/>
      <c r="F332" s="196"/>
      <c r="G332" s="196"/>
      <c r="H332" s="348">
        <v>2</v>
      </c>
      <c r="I332" s="126"/>
      <c r="J332" s="196">
        <f t="shared" si="14"/>
        <v>1</v>
      </c>
      <c r="K332" s="50"/>
      <c r="L332" s="50"/>
      <c r="M332" s="50"/>
      <c r="N332" s="194"/>
      <c r="O332" s="194"/>
      <c r="P332" s="162"/>
      <c r="Q332" s="50"/>
      <c r="R332" s="202"/>
    </row>
    <row r="333" spans="1:18" ht="15.75" customHeight="1">
      <c r="A333" s="289" t="s">
        <v>794</v>
      </c>
      <c r="B333" s="231" t="s">
        <v>842</v>
      </c>
      <c r="C333" s="50"/>
      <c r="D333" s="50"/>
      <c r="E333" s="50"/>
      <c r="F333" s="196"/>
      <c r="G333" s="196"/>
      <c r="H333" s="348">
        <v>5</v>
      </c>
      <c r="I333" s="126"/>
      <c r="J333" s="196">
        <f t="shared" si="14"/>
        <v>1</v>
      </c>
      <c r="K333" s="50"/>
      <c r="L333" s="50"/>
      <c r="M333" s="50"/>
      <c r="N333" s="194"/>
      <c r="O333" s="194"/>
      <c r="P333" s="162"/>
      <c r="Q333" s="50"/>
      <c r="R333" s="202"/>
    </row>
    <row r="334" spans="1:18" ht="15.75">
      <c r="A334" s="289" t="s">
        <v>873</v>
      </c>
      <c r="B334" s="56" t="s">
        <v>663</v>
      </c>
      <c r="C334" s="50"/>
      <c r="D334" s="50"/>
      <c r="E334" s="50"/>
      <c r="F334" s="196"/>
      <c r="G334" s="196"/>
      <c r="H334" s="348">
        <v>8</v>
      </c>
      <c r="I334" s="126"/>
      <c r="J334" s="196">
        <f t="shared" si="14"/>
        <v>1</v>
      </c>
      <c r="K334" s="50"/>
      <c r="L334" s="50"/>
      <c r="M334" s="50"/>
      <c r="N334" s="194"/>
      <c r="O334" s="194"/>
      <c r="P334" s="162">
        <f t="shared" si="15"/>
        <v>8</v>
      </c>
      <c r="Q334" s="50"/>
      <c r="R334" s="202">
        <f>IF(P334,(P334-Q334)/P334,"NB")</f>
        <v>1</v>
      </c>
    </row>
    <row r="335" spans="1:18" ht="15.75">
      <c r="A335" s="289" t="s">
        <v>874</v>
      </c>
      <c r="B335" s="233" t="s">
        <v>843</v>
      </c>
      <c r="C335" s="50"/>
      <c r="D335" s="50"/>
      <c r="E335" s="50"/>
      <c r="F335" s="196"/>
      <c r="G335" s="196"/>
      <c r="H335" s="348"/>
      <c r="I335" s="126"/>
      <c r="J335" s="196" t="str">
        <f t="shared" si="14"/>
        <v>NB</v>
      </c>
      <c r="K335" s="50"/>
      <c r="L335" s="50"/>
      <c r="M335" s="50"/>
      <c r="N335" s="194"/>
      <c r="O335" s="194"/>
      <c r="P335" s="162"/>
      <c r="Q335" s="50"/>
      <c r="R335" s="202"/>
    </row>
    <row r="336" spans="1:18" ht="15.75">
      <c r="A336" s="210" t="s">
        <v>875</v>
      </c>
      <c r="B336" s="56" t="s">
        <v>664</v>
      </c>
      <c r="C336" s="50"/>
      <c r="D336" s="50"/>
      <c r="E336" s="50"/>
      <c r="F336" s="196"/>
      <c r="G336" s="196"/>
      <c r="H336" s="348">
        <v>5</v>
      </c>
      <c r="I336" s="126"/>
      <c r="J336" s="196">
        <f t="shared" si="14"/>
        <v>1</v>
      </c>
      <c r="K336" s="50"/>
      <c r="L336" s="50"/>
      <c r="M336" s="50"/>
      <c r="N336" s="194"/>
      <c r="O336" s="194"/>
      <c r="P336" s="162">
        <f t="shared" si="15"/>
        <v>5</v>
      </c>
      <c r="Q336" s="50"/>
      <c r="R336" s="202">
        <f>IF(P336,(P336-Q336)/P336,"NB")</f>
        <v>1</v>
      </c>
    </row>
    <row r="337" spans="1:65" s="185" customFormat="1" ht="30">
      <c r="A337" s="121" t="s">
        <v>709</v>
      </c>
      <c r="B337" s="124" t="s">
        <v>665</v>
      </c>
      <c r="C337" s="11"/>
      <c r="D337" s="189"/>
      <c r="E337" s="189"/>
      <c r="F337" s="199"/>
      <c r="G337" s="199"/>
      <c r="H337" s="349">
        <f>SUM(H338:H349)</f>
        <v>14</v>
      </c>
      <c r="I337" s="190">
        <f>SUM(I338:I349)</f>
        <v>0</v>
      </c>
      <c r="J337" s="199">
        <f aca="true" t="shared" si="16" ref="J337:J368">IF(H337,(H337-I337)/H337,"NB")</f>
        <v>1</v>
      </c>
      <c r="K337" s="189"/>
      <c r="L337" s="189"/>
      <c r="M337" s="189"/>
      <c r="N337" s="198"/>
      <c r="O337" s="198"/>
      <c r="P337" s="134">
        <f t="shared" si="15"/>
        <v>14</v>
      </c>
      <c r="Q337" s="190">
        <f>SUM(Q338:Q349)</f>
        <v>0</v>
      </c>
      <c r="R337" s="189">
        <f>IF(P337,(P337-Q337)/P337,"NB")</f>
        <v>1</v>
      </c>
      <c r="S337" s="167"/>
      <c r="T337" s="167"/>
      <c r="U337" s="167"/>
      <c r="V337" s="167"/>
      <c r="W337" s="167"/>
      <c r="X337" s="167"/>
      <c r="Y337" s="167"/>
      <c r="Z337" s="167"/>
      <c r="AA337" s="167"/>
      <c r="AB337" s="167"/>
      <c r="AC337" s="167"/>
      <c r="AD337" s="167"/>
      <c r="AE337" s="167"/>
      <c r="AF337" s="167"/>
      <c r="AG337" s="167"/>
      <c r="AH337" s="167"/>
      <c r="AI337" s="167"/>
      <c r="AJ337" s="167"/>
      <c r="AK337" s="167"/>
      <c r="AL337" s="167"/>
      <c r="AM337" s="167"/>
      <c r="AN337" s="167"/>
      <c r="AO337" s="167"/>
      <c r="AP337" s="167"/>
      <c r="AQ337" s="167"/>
      <c r="AR337" s="167"/>
      <c r="AS337" s="167"/>
      <c r="AT337" s="167"/>
      <c r="AU337" s="167"/>
      <c r="AV337" s="167"/>
      <c r="AW337" s="167"/>
      <c r="AX337" s="167"/>
      <c r="AY337" s="167"/>
      <c r="AZ337" s="167"/>
      <c r="BA337" s="167"/>
      <c r="BB337" s="167"/>
      <c r="BC337" s="167"/>
      <c r="BD337" s="167"/>
      <c r="BE337" s="167"/>
      <c r="BF337" s="167"/>
      <c r="BG337" s="167"/>
      <c r="BH337" s="167"/>
      <c r="BI337" s="167"/>
      <c r="BJ337" s="167"/>
      <c r="BK337" s="167"/>
      <c r="BL337" s="167"/>
      <c r="BM337" s="167"/>
    </row>
    <row r="338" spans="1:18" ht="45">
      <c r="A338" s="210" t="s">
        <v>708</v>
      </c>
      <c r="B338" s="56" t="s">
        <v>666</v>
      </c>
      <c r="C338" s="50"/>
      <c r="D338" s="127"/>
      <c r="E338" s="127"/>
      <c r="F338" s="196"/>
      <c r="G338" s="196"/>
      <c r="H338" s="351">
        <v>3</v>
      </c>
      <c r="I338" s="127"/>
      <c r="J338" s="196">
        <f t="shared" si="16"/>
        <v>1</v>
      </c>
      <c r="K338" s="127"/>
      <c r="L338" s="127"/>
      <c r="M338" s="127"/>
      <c r="N338" s="194"/>
      <c r="O338" s="194"/>
      <c r="P338" s="162">
        <f t="shared" si="15"/>
        <v>3</v>
      </c>
      <c r="Q338" s="127"/>
      <c r="R338" s="202">
        <f>IF(P338,(P338-Q338)/P338,"NB")</f>
        <v>1</v>
      </c>
    </row>
    <row r="339" spans="1:18" ht="30">
      <c r="A339" s="210" t="s">
        <v>718</v>
      </c>
      <c r="B339" s="56" t="s">
        <v>667</v>
      </c>
      <c r="C339" s="50"/>
      <c r="D339" s="127"/>
      <c r="E339" s="127"/>
      <c r="F339" s="196"/>
      <c r="G339" s="196"/>
      <c r="H339" s="351">
        <v>1</v>
      </c>
      <c r="I339" s="127"/>
      <c r="J339" s="196">
        <f t="shared" si="16"/>
        <v>1</v>
      </c>
      <c r="K339" s="127"/>
      <c r="L339" s="127"/>
      <c r="M339" s="127"/>
      <c r="N339" s="194"/>
      <c r="O339" s="194"/>
      <c r="P339" s="162">
        <f t="shared" si="15"/>
        <v>1</v>
      </c>
      <c r="Q339" s="127"/>
      <c r="R339" s="202">
        <f>IF(P339,(P339-Q339)/P339,"NB")</f>
        <v>1</v>
      </c>
    </row>
    <row r="340" spans="1:18" ht="30">
      <c r="A340" s="210" t="s">
        <v>719</v>
      </c>
      <c r="B340" s="56" t="s">
        <v>668</v>
      </c>
      <c r="C340" s="50"/>
      <c r="D340" s="127"/>
      <c r="E340" s="127"/>
      <c r="F340" s="196"/>
      <c r="G340" s="196"/>
      <c r="H340" s="351">
        <v>2</v>
      </c>
      <c r="I340" s="127"/>
      <c r="J340" s="196">
        <f t="shared" si="16"/>
        <v>1</v>
      </c>
      <c r="K340" s="127"/>
      <c r="L340" s="127"/>
      <c r="M340" s="127"/>
      <c r="N340" s="194"/>
      <c r="O340" s="194"/>
      <c r="P340" s="162">
        <f t="shared" si="15"/>
        <v>2</v>
      </c>
      <c r="Q340" s="127"/>
      <c r="R340" s="202">
        <f>IF(P340,(P340-Q340)/P340,"NB")</f>
        <v>1</v>
      </c>
    </row>
    <row r="341" spans="1:18" ht="15.75">
      <c r="A341" s="210" t="s">
        <v>720</v>
      </c>
      <c r="B341" s="56" t="s">
        <v>669</v>
      </c>
      <c r="C341" s="50"/>
      <c r="D341" s="127"/>
      <c r="E341" s="127"/>
      <c r="F341" s="196"/>
      <c r="G341" s="196"/>
      <c r="H341" s="351">
        <v>3</v>
      </c>
      <c r="I341" s="127"/>
      <c r="J341" s="196">
        <f t="shared" si="16"/>
        <v>1</v>
      </c>
      <c r="K341" s="127"/>
      <c r="L341" s="127"/>
      <c r="M341" s="127"/>
      <c r="N341" s="194"/>
      <c r="O341" s="194"/>
      <c r="P341" s="162">
        <f t="shared" si="15"/>
        <v>3</v>
      </c>
      <c r="Q341" s="127"/>
      <c r="R341" s="202">
        <f>IF(P341,(P341-Q341)/P341,"NB")</f>
        <v>1</v>
      </c>
    </row>
    <row r="342" spans="1:18" ht="30">
      <c r="A342" s="210" t="s">
        <v>721</v>
      </c>
      <c r="B342" s="56" t="s">
        <v>670</v>
      </c>
      <c r="C342" s="50"/>
      <c r="D342" s="127"/>
      <c r="E342" s="127"/>
      <c r="F342" s="196"/>
      <c r="G342" s="196"/>
      <c r="H342" s="351">
        <v>5</v>
      </c>
      <c r="I342" s="127"/>
      <c r="J342" s="196">
        <f t="shared" si="16"/>
        <v>1</v>
      </c>
      <c r="K342" s="127"/>
      <c r="L342" s="127"/>
      <c r="M342" s="127"/>
      <c r="N342" s="194"/>
      <c r="O342" s="194"/>
      <c r="P342" s="162">
        <f t="shared" si="15"/>
        <v>5</v>
      </c>
      <c r="Q342" s="127"/>
      <c r="R342" s="202">
        <f>IF(P342,(P342-Q342)/P342,"NB")</f>
        <v>1</v>
      </c>
    </row>
    <row r="343" spans="1:18" ht="15.75">
      <c r="A343" s="289" t="s">
        <v>876</v>
      </c>
      <c r="B343" s="231" t="s">
        <v>844</v>
      </c>
      <c r="C343" s="50"/>
      <c r="D343" s="127"/>
      <c r="E343" s="127"/>
      <c r="F343" s="196"/>
      <c r="G343" s="196"/>
      <c r="H343" s="351"/>
      <c r="I343" s="127"/>
      <c r="J343" s="196" t="str">
        <f t="shared" si="16"/>
        <v>NB</v>
      </c>
      <c r="K343" s="127"/>
      <c r="L343" s="127"/>
      <c r="M343" s="127"/>
      <c r="N343" s="194"/>
      <c r="O343" s="194"/>
      <c r="P343" s="162">
        <f aca="true" t="shared" si="17" ref="P343:P349">H343</f>
        <v>0</v>
      </c>
      <c r="Q343" s="127"/>
      <c r="R343" s="202" t="str">
        <f>IF(P343,(P343-Q343)/P343,"NB")</f>
        <v>NB</v>
      </c>
    </row>
    <row r="344" spans="1:18" ht="15.75">
      <c r="A344" s="289" t="s">
        <v>877</v>
      </c>
      <c r="B344" s="231" t="s">
        <v>845</v>
      </c>
      <c r="C344" s="50"/>
      <c r="D344" s="127"/>
      <c r="E344" s="127"/>
      <c r="F344" s="196"/>
      <c r="G344" s="196"/>
      <c r="H344" s="351"/>
      <c r="I344" s="127"/>
      <c r="J344" s="196" t="str">
        <f t="shared" si="16"/>
        <v>NB</v>
      </c>
      <c r="K344" s="127"/>
      <c r="L344" s="127"/>
      <c r="M344" s="127"/>
      <c r="N344" s="194"/>
      <c r="O344" s="194"/>
      <c r="P344" s="162">
        <f t="shared" si="17"/>
        <v>0</v>
      </c>
      <c r="Q344" s="127"/>
      <c r="R344" s="202" t="str">
        <f>IF(P344,(P344-Q344)/P344,"NB")</f>
        <v>NB</v>
      </c>
    </row>
    <row r="345" spans="1:18" ht="15.75">
      <c r="A345" s="289" t="s">
        <v>878</v>
      </c>
      <c r="B345" s="232" t="s">
        <v>846</v>
      </c>
      <c r="C345" s="50"/>
      <c r="D345" s="127"/>
      <c r="E345" s="127"/>
      <c r="F345" s="196"/>
      <c r="G345" s="196"/>
      <c r="H345" s="351"/>
      <c r="I345" s="127"/>
      <c r="J345" s="196" t="str">
        <f t="shared" si="16"/>
        <v>NB</v>
      </c>
      <c r="K345" s="127"/>
      <c r="L345" s="127"/>
      <c r="M345" s="127"/>
      <c r="N345" s="194"/>
      <c r="O345" s="194"/>
      <c r="P345" s="162">
        <f t="shared" si="17"/>
        <v>0</v>
      </c>
      <c r="Q345" s="127"/>
      <c r="R345" s="202" t="str">
        <f>IF(P345,(P345-Q345)/P345,"NB")</f>
        <v>NB</v>
      </c>
    </row>
    <row r="346" spans="1:18" ht="28.5">
      <c r="A346" s="289" t="s">
        <v>879</v>
      </c>
      <c r="B346" s="232" t="s">
        <v>847</v>
      </c>
      <c r="C346" s="50"/>
      <c r="D346" s="127"/>
      <c r="E346" s="127"/>
      <c r="F346" s="196"/>
      <c r="G346" s="196"/>
      <c r="H346" s="351"/>
      <c r="I346" s="127"/>
      <c r="J346" s="196" t="str">
        <f t="shared" si="16"/>
        <v>NB</v>
      </c>
      <c r="K346" s="127"/>
      <c r="L346" s="127"/>
      <c r="M346" s="127"/>
      <c r="N346" s="194"/>
      <c r="O346" s="194"/>
      <c r="P346" s="162">
        <f t="shared" si="17"/>
        <v>0</v>
      </c>
      <c r="Q346" s="127"/>
      <c r="R346" s="202" t="str">
        <f>IF(P346,(P346-Q346)/P346,"NB")</f>
        <v>NB</v>
      </c>
    </row>
    <row r="347" spans="1:18" ht="15.75">
      <c r="A347" s="289" t="s">
        <v>880</v>
      </c>
      <c r="B347" s="232" t="s">
        <v>848</v>
      </c>
      <c r="C347" s="50"/>
      <c r="D347" s="127"/>
      <c r="E347" s="127"/>
      <c r="F347" s="196"/>
      <c r="G347" s="196"/>
      <c r="H347" s="351"/>
      <c r="I347" s="127"/>
      <c r="J347" s="196" t="str">
        <f t="shared" si="16"/>
        <v>NB</v>
      </c>
      <c r="K347" s="127"/>
      <c r="L347" s="127"/>
      <c r="M347" s="127"/>
      <c r="N347" s="194"/>
      <c r="O347" s="194"/>
      <c r="P347" s="162">
        <f t="shared" si="17"/>
        <v>0</v>
      </c>
      <c r="Q347" s="127"/>
      <c r="R347" s="202" t="str">
        <f>IF(P347,(P347-Q347)/P347,"NB")</f>
        <v>NB</v>
      </c>
    </row>
    <row r="348" spans="1:18" ht="28.5">
      <c r="A348" s="289" t="s">
        <v>881</v>
      </c>
      <c r="B348" s="231" t="s">
        <v>849</v>
      </c>
      <c r="C348" s="50"/>
      <c r="D348" s="127"/>
      <c r="E348" s="127"/>
      <c r="F348" s="196"/>
      <c r="G348" s="196"/>
      <c r="H348" s="351"/>
      <c r="I348" s="127"/>
      <c r="J348" s="196" t="str">
        <f t="shared" si="16"/>
        <v>NB</v>
      </c>
      <c r="K348" s="127"/>
      <c r="L348" s="127"/>
      <c r="M348" s="127"/>
      <c r="N348" s="194"/>
      <c r="O348" s="194"/>
      <c r="P348" s="162">
        <f t="shared" si="17"/>
        <v>0</v>
      </c>
      <c r="Q348" s="127"/>
      <c r="R348" s="202" t="str">
        <f>IF(P348,(P348-Q348)/P348,"NB")</f>
        <v>NB</v>
      </c>
    </row>
    <row r="349" spans="1:18" ht="42.75">
      <c r="A349" s="289" t="s">
        <v>882</v>
      </c>
      <c r="B349" s="231" t="s">
        <v>850</v>
      </c>
      <c r="C349" s="50"/>
      <c r="D349" s="127"/>
      <c r="E349" s="127"/>
      <c r="F349" s="196"/>
      <c r="G349" s="196"/>
      <c r="H349" s="351"/>
      <c r="I349" s="127"/>
      <c r="J349" s="196" t="str">
        <f t="shared" si="16"/>
        <v>NB</v>
      </c>
      <c r="K349" s="127"/>
      <c r="L349" s="127"/>
      <c r="M349" s="127"/>
      <c r="N349" s="194"/>
      <c r="O349" s="194"/>
      <c r="P349" s="162">
        <f t="shared" si="17"/>
        <v>0</v>
      </c>
      <c r="Q349" s="127"/>
      <c r="R349" s="202" t="str">
        <f>IF(P349,(P349-Q349)/P349,"NB")</f>
        <v>NB</v>
      </c>
    </row>
    <row r="350" spans="1:65" s="185" customFormat="1" ht="15.75">
      <c r="A350" s="121" t="s">
        <v>710</v>
      </c>
      <c r="B350" s="124" t="s">
        <v>671</v>
      </c>
      <c r="C350" s="11"/>
      <c r="D350" s="189"/>
      <c r="E350" s="189"/>
      <c r="F350" s="199"/>
      <c r="G350" s="199"/>
      <c r="H350" s="349">
        <f>SUM(H351:H365)</f>
        <v>0</v>
      </c>
      <c r="I350" s="190">
        <f>SUM(I351:I365)</f>
        <v>0</v>
      </c>
      <c r="J350" s="199" t="str">
        <f t="shared" si="16"/>
        <v>NB</v>
      </c>
      <c r="K350" s="189"/>
      <c r="L350" s="189"/>
      <c r="M350" s="189"/>
      <c r="N350" s="198"/>
      <c r="O350" s="198"/>
      <c r="P350" s="134">
        <f t="shared" si="15"/>
        <v>0</v>
      </c>
      <c r="Q350" s="190">
        <f>SUM(Q351:Q365)</f>
        <v>0</v>
      </c>
      <c r="R350" s="190" t="str">
        <f>IF(P350,(P350-Q350)/P350,"NB")</f>
        <v>NB</v>
      </c>
      <c r="S350" s="167"/>
      <c r="T350" s="167"/>
      <c r="U350" s="167"/>
      <c r="V350" s="167"/>
      <c r="W350" s="167"/>
      <c r="X350" s="167"/>
      <c r="Y350" s="167"/>
      <c r="Z350" s="167"/>
      <c r="AA350" s="167"/>
      <c r="AB350" s="167"/>
      <c r="AC350" s="167"/>
      <c r="AD350" s="167"/>
      <c r="AE350" s="167"/>
      <c r="AF350" s="167"/>
      <c r="AG350" s="167"/>
      <c r="AH350" s="167"/>
      <c r="AI350" s="167"/>
      <c r="AJ350" s="167"/>
      <c r="AK350" s="167"/>
      <c r="AL350" s="167"/>
      <c r="AM350" s="167"/>
      <c r="AN350" s="167"/>
      <c r="AO350" s="167"/>
      <c r="AP350" s="167"/>
      <c r="AQ350" s="167"/>
      <c r="AR350" s="167"/>
      <c r="AS350" s="167"/>
      <c r="AT350" s="167"/>
      <c r="AU350" s="167"/>
      <c r="AV350" s="167"/>
      <c r="AW350" s="167"/>
      <c r="AX350" s="167"/>
      <c r="AY350" s="167"/>
      <c r="AZ350" s="167"/>
      <c r="BA350" s="167"/>
      <c r="BB350" s="167"/>
      <c r="BC350" s="167"/>
      <c r="BD350" s="167"/>
      <c r="BE350" s="167"/>
      <c r="BF350" s="167"/>
      <c r="BG350" s="167"/>
      <c r="BH350" s="167"/>
      <c r="BI350" s="167"/>
      <c r="BJ350" s="167"/>
      <c r="BK350" s="167"/>
      <c r="BL350" s="167"/>
      <c r="BM350" s="167"/>
    </row>
    <row r="351" spans="1:18" ht="105">
      <c r="A351" s="290" t="s">
        <v>722</v>
      </c>
      <c r="B351" s="56" t="s">
        <v>672</v>
      </c>
      <c r="C351" s="50"/>
      <c r="D351" s="127"/>
      <c r="E351" s="127"/>
      <c r="F351" s="196"/>
      <c r="G351" s="196"/>
      <c r="H351" s="351"/>
      <c r="I351" s="127"/>
      <c r="J351" s="196" t="str">
        <f t="shared" si="16"/>
        <v>NB</v>
      </c>
      <c r="K351" s="127"/>
      <c r="L351" s="127"/>
      <c r="M351" s="127"/>
      <c r="N351" s="194"/>
      <c r="O351" s="194"/>
      <c r="P351" s="162">
        <f t="shared" si="15"/>
        <v>0</v>
      </c>
      <c r="Q351" s="127"/>
      <c r="R351" s="202" t="str">
        <f>IF(P351,(P351-Q351)/P351,"NB")</f>
        <v>NB</v>
      </c>
    </row>
    <row r="352" spans="1:18" ht="15.75">
      <c r="A352" s="290" t="s">
        <v>723</v>
      </c>
      <c r="B352" s="56" t="s">
        <v>673</v>
      </c>
      <c r="C352" s="50"/>
      <c r="D352" s="127"/>
      <c r="E352" s="127"/>
      <c r="F352" s="196"/>
      <c r="G352" s="196"/>
      <c r="H352" s="351"/>
      <c r="I352" s="127"/>
      <c r="J352" s="196" t="str">
        <f t="shared" si="16"/>
        <v>NB</v>
      </c>
      <c r="K352" s="127"/>
      <c r="L352" s="127"/>
      <c r="M352" s="127"/>
      <c r="N352" s="194"/>
      <c r="O352" s="194"/>
      <c r="P352" s="162">
        <f t="shared" si="15"/>
        <v>0</v>
      </c>
      <c r="Q352" s="127"/>
      <c r="R352" s="202" t="str">
        <f>IF(P352,(P352-Q352)/P352,"NB")</f>
        <v>NB</v>
      </c>
    </row>
    <row r="353" spans="1:18" ht="45">
      <c r="A353" s="290" t="s">
        <v>724</v>
      </c>
      <c r="B353" s="56" t="s">
        <v>674</v>
      </c>
      <c r="C353" s="50"/>
      <c r="D353" s="127"/>
      <c r="E353" s="127"/>
      <c r="F353" s="196"/>
      <c r="G353" s="196"/>
      <c r="H353" s="351"/>
      <c r="I353" s="127"/>
      <c r="J353" s="196" t="str">
        <f t="shared" si="16"/>
        <v>NB</v>
      </c>
      <c r="K353" s="127"/>
      <c r="L353" s="127"/>
      <c r="M353" s="127"/>
      <c r="N353" s="194"/>
      <c r="O353" s="194"/>
      <c r="P353" s="162">
        <f t="shared" si="15"/>
        <v>0</v>
      </c>
      <c r="Q353" s="127"/>
      <c r="R353" s="202" t="str">
        <f>IF(P353,(P353-Q353)/P353,"NB")</f>
        <v>NB</v>
      </c>
    </row>
    <row r="354" spans="1:18" ht="45">
      <c r="A354" s="290" t="s">
        <v>725</v>
      </c>
      <c r="B354" s="56" t="s">
        <v>675</v>
      </c>
      <c r="C354" s="50"/>
      <c r="D354" s="127"/>
      <c r="E354" s="127"/>
      <c r="F354" s="196"/>
      <c r="G354" s="196"/>
      <c r="H354" s="351"/>
      <c r="I354" s="127"/>
      <c r="J354" s="196" t="str">
        <f t="shared" si="16"/>
        <v>NB</v>
      </c>
      <c r="K354" s="127"/>
      <c r="L354" s="127"/>
      <c r="M354" s="127"/>
      <c r="N354" s="194"/>
      <c r="O354" s="194"/>
      <c r="P354" s="162">
        <f t="shared" si="15"/>
        <v>0</v>
      </c>
      <c r="Q354" s="127"/>
      <c r="R354" s="202" t="str">
        <f>IF(P354,(P354-Q354)/P354,"NB")</f>
        <v>NB</v>
      </c>
    </row>
    <row r="355" spans="1:18" ht="75">
      <c r="A355" s="290" t="s">
        <v>726</v>
      </c>
      <c r="B355" s="56" t="s">
        <v>676</v>
      </c>
      <c r="C355" s="50"/>
      <c r="D355" s="127"/>
      <c r="E355" s="127"/>
      <c r="F355" s="196"/>
      <c r="G355" s="196"/>
      <c r="H355" s="351"/>
      <c r="I355" s="127"/>
      <c r="J355" s="196" t="str">
        <f t="shared" si="16"/>
        <v>NB</v>
      </c>
      <c r="K355" s="127"/>
      <c r="L355" s="127"/>
      <c r="M355" s="127"/>
      <c r="N355" s="194"/>
      <c r="O355" s="194"/>
      <c r="P355" s="162">
        <f t="shared" si="15"/>
        <v>0</v>
      </c>
      <c r="Q355" s="127"/>
      <c r="R355" s="202" t="str">
        <f>IF(P355,(P355-Q355)/P355,"NB")</f>
        <v>NB</v>
      </c>
    </row>
    <row r="356" spans="1:18" ht="30">
      <c r="A356" s="290" t="s">
        <v>727</v>
      </c>
      <c r="B356" s="56" t="s">
        <v>677</v>
      </c>
      <c r="C356" s="50"/>
      <c r="D356" s="127"/>
      <c r="E356" s="127"/>
      <c r="F356" s="196"/>
      <c r="G356" s="196"/>
      <c r="H356" s="351"/>
      <c r="I356" s="127"/>
      <c r="J356" s="196" t="str">
        <f t="shared" si="16"/>
        <v>NB</v>
      </c>
      <c r="K356" s="127"/>
      <c r="L356" s="127"/>
      <c r="M356" s="127"/>
      <c r="N356" s="194"/>
      <c r="O356" s="194"/>
      <c r="P356" s="162">
        <f t="shared" si="15"/>
        <v>0</v>
      </c>
      <c r="Q356" s="127"/>
      <c r="R356" s="202" t="str">
        <f>IF(P356,(P356-Q356)/P356,"NB")</f>
        <v>NB</v>
      </c>
    </row>
    <row r="357" spans="1:18" ht="30">
      <c r="A357" s="291" t="s">
        <v>883</v>
      </c>
      <c r="B357" s="234" t="s">
        <v>851</v>
      </c>
      <c r="C357" s="50"/>
      <c r="D357" s="127"/>
      <c r="E357" s="127"/>
      <c r="F357" s="196"/>
      <c r="G357" s="196"/>
      <c r="H357" s="351"/>
      <c r="I357" s="127"/>
      <c r="J357" s="196" t="str">
        <f t="shared" si="16"/>
        <v>NB</v>
      </c>
      <c r="K357" s="127"/>
      <c r="L357" s="127"/>
      <c r="M357" s="127"/>
      <c r="N357" s="194"/>
      <c r="O357" s="194"/>
      <c r="P357" s="162">
        <f aca="true" t="shared" si="18" ref="P357:P365">H357</f>
        <v>0</v>
      </c>
      <c r="Q357" s="127"/>
      <c r="R357" s="202" t="str">
        <f>IF(P357,(P357-Q357)/P357,"NB")</f>
        <v>NB</v>
      </c>
    </row>
    <row r="358" spans="1:18" ht="15.75">
      <c r="A358" s="291" t="s">
        <v>884</v>
      </c>
      <c r="B358" s="232" t="s">
        <v>852</v>
      </c>
      <c r="C358" s="50"/>
      <c r="D358" s="127"/>
      <c r="E358" s="127"/>
      <c r="F358" s="196"/>
      <c r="G358" s="196"/>
      <c r="H358" s="351"/>
      <c r="I358" s="127"/>
      <c r="J358" s="196" t="str">
        <f t="shared" si="16"/>
        <v>NB</v>
      </c>
      <c r="K358" s="127"/>
      <c r="L358" s="127"/>
      <c r="M358" s="127"/>
      <c r="N358" s="194"/>
      <c r="O358" s="194"/>
      <c r="P358" s="162">
        <f t="shared" si="18"/>
        <v>0</v>
      </c>
      <c r="Q358" s="127"/>
      <c r="R358" s="202" t="str">
        <f>IF(P358,(P358-Q358)/P358,"NB")</f>
        <v>NB</v>
      </c>
    </row>
    <row r="359" spans="1:18" ht="15.75">
      <c r="A359" s="291" t="s">
        <v>885</v>
      </c>
      <c r="B359" s="232" t="s">
        <v>853</v>
      </c>
      <c r="C359" s="50"/>
      <c r="D359" s="127"/>
      <c r="E359" s="127"/>
      <c r="F359" s="196"/>
      <c r="G359" s="196"/>
      <c r="H359" s="351"/>
      <c r="I359" s="127"/>
      <c r="J359" s="196" t="str">
        <f t="shared" si="16"/>
        <v>NB</v>
      </c>
      <c r="K359" s="127"/>
      <c r="L359" s="127"/>
      <c r="M359" s="127"/>
      <c r="N359" s="194"/>
      <c r="O359" s="194"/>
      <c r="P359" s="162">
        <f t="shared" si="18"/>
        <v>0</v>
      </c>
      <c r="Q359" s="127"/>
      <c r="R359" s="202" t="str">
        <f>IF(P359,(P359-Q359)/P359,"NB")</f>
        <v>NB</v>
      </c>
    </row>
    <row r="360" spans="1:18" ht="15.75">
      <c r="A360" s="291" t="s">
        <v>886</v>
      </c>
      <c r="B360" s="232" t="s">
        <v>854</v>
      </c>
      <c r="C360" s="50"/>
      <c r="D360" s="127"/>
      <c r="E360" s="127"/>
      <c r="F360" s="196"/>
      <c r="G360" s="196"/>
      <c r="H360" s="351"/>
      <c r="I360" s="127"/>
      <c r="J360" s="196" t="str">
        <f t="shared" si="16"/>
        <v>NB</v>
      </c>
      <c r="K360" s="127"/>
      <c r="L360" s="127"/>
      <c r="M360" s="127"/>
      <c r="N360" s="194"/>
      <c r="O360" s="194"/>
      <c r="P360" s="162">
        <f t="shared" si="18"/>
        <v>0</v>
      </c>
      <c r="Q360" s="127"/>
      <c r="R360" s="202" t="str">
        <f>IF(P360,(P360-Q360)/P360,"NB")</f>
        <v>NB</v>
      </c>
    </row>
    <row r="361" spans="1:18" ht="30">
      <c r="A361" s="291" t="s">
        <v>887</v>
      </c>
      <c r="B361" s="234" t="s">
        <v>855</v>
      </c>
      <c r="C361" s="50"/>
      <c r="D361" s="127"/>
      <c r="E361" s="127"/>
      <c r="F361" s="196"/>
      <c r="G361" s="196"/>
      <c r="H361" s="351"/>
      <c r="I361" s="127"/>
      <c r="J361" s="196" t="str">
        <f t="shared" si="16"/>
        <v>NB</v>
      </c>
      <c r="K361" s="127"/>
      <c r="L361" s="127"/>
      <c r="M361" s="127"/>
      <c r="N361" s="194"/>
      <c r="O361" s="194"/>
      <c r="P361" s="162">
        <f t="shared" si="18"/>
        <v>0</v>
      </c>
      <c r="Q361" s="127"/>
      <c r="R361" s="202" t="str">
        <f>IF(P361,(P361-Q361)/P361,"NB")</f>
        <v>NB</v>
      </c>
    </row>
    <row r="362" spans="1:18" ht="15.75">
      <c r="A362" s="291" t="s">
        <v>888</v>
      </c>
      <c r="B362" s="232" t="s">
        <v>856</v>
      </c>
      <c r="C362" s="50"/>
      <c r="D362" s="127"/>
      <c r="E362" s="127"/>
      <c r="F362" s="196"/>
      <c r="G362" s="196"/>
      <c r="H362" s="351"/>
      <c r="I362" s="127"/>
      <c r="J362" s="196" t="str">
        <f t="shared" si="16"/>
        <v>NB</v>
      </c>
      <c r="K362" s="127"/>
      <c r="L362" s="127"/>
      <c r="M362" s="127"/>
      <c r="N362" s="194"/>
      <c r="O362" s="194"/>
      <c r="P362" s="162">
        <f t="shared" si="18"/>
        <v>0</v>
      </c>
      <c r="Q362" s="127"/>
      <c r="R362" s="202" t="str">
        <f>IF(P362,(P362-Q362)/P362,"NB")</f>
        <v>NB</v>
      </c>
    </row>
    <row r="363" spans="1:18" ht="15.75">
      <c r="A363" s="291" t="s">
        <v>889</v>
      </c>
      <c r="B363" s="232" t="s">
        <v>857</v>
      </c>
      <c r="C363" s="50"/>
      <c r="D363" s="127"/>
      <c r="E363" s="127"/>
      <c r="F363" s="196"/>
      <c r="G363" s="196"/>
      <c r="H363" s="351"/>
      <c r="I363" s="127"/>
      <c r="J363" s="196" t="str">
        <f t="shared" si="16"/>
        <v>NB</v>
      </c>
      <c r="K363" s="127"/>
      <c r="L363" s="127"/>
      <c r="M363" s="127"/>
      <c r="N363" s="194"/>
      <c r="O363" s="194"/>
      <c r="P363" s="162">
        <f t="shared" si="18"/>
        <v>0</v>
      </c>
      <c r="Q363" s="127"/>
      <c r="R363" s="202" t="str">
        <f>IF(P363,(P363-Q363)/P363,"NB")</f>
        <v>NB</v>
      </c>
    </row>
    <row r="364" spans="1:18" ht="15.75">
      <c r="A364" s="291" t="s">
        <v>890</v>
      </c>
      <c r="B364" s="232" t="s">
        <v>858</v>
      </c>
      <c r="C364" s="50"/>
      <c r="D364" s="127"/>
      <c r="E364" s="127"/>
      <c r="F364" s="196"/>
      <c r="G364" s="196"/>
      <c r="H364" s="351"/>
      <c r="I364" s="127"/>
      <c r="J364" s="196" t="str">
        <f t="shared" si="16"/>
        <v>NB</v>
      </c>
      <c r="K364" s="127"/>
      <c r="L364" s="127"/>
      <c r="M364" s="127"/>
      <c r="N364" s="194"/>
      <c r="O364" s="194"/>
      <c r="P364" s="162">
        <f t="shared" si="18"/>
        <v>0</v>
      </c>
      <c r="Q364" s="127"/>
      <c r="R364" s="202" t="str">
        <f>IF(P364,(P364-Q364)/P364,"NB")</f>
        <v>NB</v>
      </c>
    </row>
    <row r="365" spans="1:18" ht="15.75">
      <c r="A365" s="291" t="s">
        <v>891</v>
      </c>
      <c r="B365" s="234" t="s">
        <v>859</v>
      </c>
      <c r="C365" s="50"/>
      <c r="D365" s="127"/>
      <c r="E365" s="127"/>
      <c r="F365" s="196"/>
      <c r="G365" s="196"/>
      <c r="H365" s="351"/>
      <c r="I365" s="127"/>
      <c r="J365" s="196" t="str">
        <f t="shared" si="16"/>
        <v>NB</v>
      </c>
      <c r="K365" s="127"/>
      <c r="L365" s="127"/>
      <c r="M365" s="127"/>
      <c r="N365" s="194"/>
      <c r="O365" s="194"/>
      <c r="P365" s="162">
        <f t="shared" si="18"/>
        <v>0</v>
      </c>
      <c r="Q365" s="127"/>
      <c r="R365" s="202" t="str">
        <f>IF(P365,(P365-Q365)/P365,"NB")</f>
        <v>NB</v>
      </c>
    </row>
    <row r="366" spans="1:65" s="137" customFormat="1" ht="15.75">
      <c r="A366" s="121" t="s">
        <v>776</v>
      </c>
      <c r="B366" s="124" t="s">
        <v>777</v>
      </c>
      <c r="C366" s="11"/>
      <c r="D366" s="189"/>
      <c r="E366" s="189"/>
      <c r="F366" s="220"/>
      <c r="G366" s="220"/>
      <c r="H366" s="349">
        <f>SUM(H367:H373)</f>
        <v>0</v>
      </c>
      <c r="I366" s="190">
        <f>SUM(I367:I373)</f>
        <v>0</v>
      </c>
      <c r="J366" s="220" t="str">
        <f t="shared" si="16"/>
        <v>NB</v>
      </c>
      <c r="K366" s="189"/>
      <c r="L366" s="189"/>
      <c r="M366" s="189"/>
      <c r="N366" s="221"/>
      <c r="O366" s="221"/>
      <c r="P366" s="134">
        <f t="shared" si="15"/>
        <v>0</v>
      </c>
      <c r="Q366" s="190">
        <f>SUM(Q367:Q373)</f>
        <v>0</v>
      </c>
      <c r="R366" s="205" t="str">
        <f>IF(P366,(P366-Q366)/P366,"NB")</f>
        <v>NB</v>
      </c>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row>
    <row r="367" spans="1:18" ht="15.75">
      <c r="A367" s="290" t="s">
        <v>993</v>
      </c>
      <c r="B367" s="56" t="s">
        <v>778</v>
      </c>
      <c r="C367" s="50"/>
      <c r="D367" s="127"/>
      <c r="E367" s="127"/>
      <c r="F367" s="196"/>
      <c r="G367" s="196"/>
      <c r="H367" s="351"/>
      <c r="I367" s="127"/>
      <c r="J367" s="196" t="str">
        <f t="shared" si="16"/>
        <v>NB</v>
      </c>
      <c r="K367" s="127"/>
      <c r="L367" s="127"/>
      <c r="M367" s="127"/>
      <c r="N367" s="194"/>
      <c r="O367" s="194"/>
      <c r="P367" s="162">
        <f t="shared" si="15"/>
        <v>0</v>
      </c>
      <c r="Q367" s="127"/>
      <c r="R367" s="202" t="str">
        <f>IF(P367,(P367-Q367)/P367,"NB")</f>
        <v>NB</v>
      </c>
    </row>
    <row r="368" spans="1:18" ht="15.75">
      <c r="A368" s="290" t="s">
        <v>784</v>
      </c>
      <c r="B368" s="56" t="s">
        <v>779</v>
      </c>
      <c r="C368" s="50"/>
      <c r="D368" s="127"/>
      <c r="E368" s="127"/>
      <c r="F368" s="196"/>
      <c r="G368" s="196"/>
      <c r="H368" s="351"/>
      <c r="I368" s="127"/>
      <c r="J368" s="196" t="str">
        <f t="shared" si="16"/>
        <v>NB</v>
      </c>
      <c r="K368" s="127"/>
      <c r="L368" s="127"/>
      <c r="M368" s="127"/>
      <c r="N368" s="194"/>
      <c r="O368" s="194"/>
      <c r="P368" s="162">
        <f t="shared" si="15"/>
        <v>0</v>
      </c>
      <c r="Q368" s="127"/>
      <c r="R368" s="202" t="str">
        <f>IF(P368,(P368-Q368)/P368,"NB")</f>
        <v>NB</v>
      </c>
    </row>
    <row r="369" spans="1:18" ht="30">
      <c r="A369" s="290" t="s">
        <v>785</v>
      </c>
      <c r="B369" s="56" t="s">
        <v>780</v>
      </c>
      <c r="C369" s="50"/>
      <c r="D369" s="127"/>
      <c r="E369" s="127"/>
      <c r="F369" s="196"/>
      <c r="G369" s="196"/>
      <c r="H369" s="351"/>
      <c r="I369" s="127"/>
      <c r="J369" s="196" t="str">
        <f aca="true" t="shared" si="19" ref="J369:J391">IF(H369,(H369-I369)/H369,"NB")</f>
        <v>NB</v>
      </c>
      <c r="K369" s="127"/>
      <c r="L369" s="127"/>
      <c r="M369" s="127"/>
      <c r="N369" s="194"/>
      <c r="O369" s="194"/>
      <c r="P369" s="162">
        <f t="shared" si="15"/>
        <v>0</v>
      </c>
      <c r="Q369" s="127"/>
      <c r="R369" s="202" t="str">
        <f>IF(P369,(P369-Q369)/P369,"NB")</f>
        <v>NB</v>
      </c>
    </row>
    <row r="370" spans="1:18" ht="15.75">
      <c r="A370" s="290" t="s">
        <v>786</v>
      </c>
      <c r="B370" s="56" t="s">
        <v>781</v>
      </c>
      <c r="C370" s="50"/>
      <c r="D370" s="127"/>
      <c r="E370" s="127"/>
      <c r="F370" s="196"/>
      <c r="G370" s="196"/>
      <c r="H370" s="351"/>
      <c r="I370" s="127"/>
      <c r="J370" s="196" t="str">
        <f t="shared" si="19"/>
        <v>NB</v>
      </c>
      <c r="K370" s="127"/>
      <c r="L370" s="127"/>
      <c r="M370" s="127"/>
      <c r="N370" s="194"/>
      <c r="O370" s="194"/>
      <c r="P370" s="162">
        <f t="shared" si="15"/>
        <v>0</v>
      </c>
      <c r="Q370" s="127"/>
      <c r="R370" s="202" t="str">
        <f>IF(P370,(P370-Q370)/P370,"NB")</f>
        <v>NB</v>
      </c>
    </row>
    <row r="371" spans="1:18" ht="15.75">
      <c r="A371" s="290" t="s">
        <v>787</v>
      </c>
      <c r="B371" s="56" t="s">
        <v>782</v>
      </c>
      <c r="C371" s="50"/>
      <c r="D371" s="127"/>
      <c r="E371" s="127"/>
      <c r="F371" s="196"/>
      <c r="G371" s="196"/>
      <c r="H371" s="351"/>
      <c r="I371" s="127"/>
      <c r="J371" s="196" t="str">
        <f t="shared" si="19"/>
        <v>NB</v>
      </c>
      <c r="K371" s="127"/>
      <c r="L371" s="127"/>
      <c r="M371" s="127"/>
      <c r="N371" s="194"/>
      <c r="O371" s="194"/>
      <c r="P371" s="162">
        <f t="shared" si="15"/>
        <v>0</v>
      </c>
      <c r="Q371" s="127"/>
      <c r="R371" s="202" t="str">
        <f>IF(P371,(P371-Q371)/P371,"NB")</f>
        <v>NB</v>
      </c>
    </row>
    <row r="372" spans="1:18" ht="15.75">
      <c r="A372" s="290" t="s">
        <v>788</v>
      </c>
      <c r="B372" s="56" t="s">
        <v>783</v>
      </c>
      <c r="C372" s="50"/>
      <c r="D372" s="127"/>
      <c r="E372" s="127"/>
      <c r="F372" s="196"/>
      <c r="G372" s="196"/>
      <c r="H372" s="351"/>
      <c r="I372" s="127"/>
      <c r="J372" s="196" t="str">
        <f t="shared" si="19"/>
        <v>NB</v>
      </c>
      <c r="K372" s="127"/>
      <c r="L372" s="127"/>
      <c r="M372" s="127"/>
      <c r="N372" s="194"/>
      <c r="O372" s="194"/>
      <c r="P372" s="162">
        <f t="shared" si="15"/>
        <v>0</v>
      </c>
      <c r="Q372" s="127"/>
      <c r="R372" s="202" t="str">
        <f>IF(P372,(P372-Q372)/P372,"NB")</f>
        <v>NB</v>
      </c>
    </row>
    <row r="373" spans="1:18" ht="15.75">
      <c r="A373" s="290" t="s">
        <v>789</v>
      </c>
      <c r="B373" s="56" t="s">
        <v>398</v>
      </c>
      <c r="C373" s="50"/>
      <c r="D373" s="127"/>
      <c r="E373" s="127"/>
      <c r="F373" s="196"/>
      <c r="G373" s="196"/>
      <c r="H373" s="351"/>
      <c r="I373" s="127"/>
      <c r="J373" s="196" t="str">
        <f t="shared" si="19"/>
        <v>NB</v>
      </c>
      <c r="K373" s="127"/>
      <c r="L373" s="127"/>
      <c r="M373" s="127"/>
      <c r="N373" s="194"/>
      <c r="O373" s="194"/>
      <c r="P373" s="162">
        <f t="shared" si="15"/>
        <v>0</v>
      </c>
      <c r="Q373" s="127"/>
      <c r="R373" s="202" t="str">
        <f>IF(P373,(P373-Q373)/P373,"NB")</f>
        <v>NB</v>
      </c>
    </row>
    <row r="374" spans="1:18" s="167" customFormat="1" ht="15.75">
      <c r="A374" s="292" t="s">
        <v>402</v>
      </c>
      <c r="B374" s="250" t="s">
        <v>691</v>
      </c>
      <c r="C374" s="50"/>
      <c r="D374" s="126"/>
      <c r="E374" s="126"/>
      <c r="F374" s="196"/>
      <c r="G374" s="196"/>
      <c r="H374" s="348">
        <v>0</v>
      </c>
      <c r="I374" s="141">
        <f>I375</f>
        <v>0</v>
      </c>
      <c r="J374" s="196" t="str">
        <f t="shared" si="19"/>
        <v>NB</v>
      </c>
      <c r="K374" s="126"/>
      <c r="L374" s="126"/>
      <c r="M374" s="126"/>
      <c r="N374" s="194"/>
      <c r="O374" s="194"/>
      <c r="P374" s="157">
        <f t="shared" si="15"/>
        <v>0</v>
      </c>
      <c r="Q374" s="141">
        <v>0</v>
      </c>
      <c r="R374" s="202" t="str">
        <f>IF(P374,(P374-Q374)/P374,"NB")</f>
        <v>NB</v>
      </c>
    </row>
    <row r="375" spans="1:18" s="167" customFormat="1" ht="15.75">
      <c r="A375" s="293"/>
      <c r="B375" s="124" t="s">
        <v>642</v>
      </c>
      <c r="C375" s="227"/>
      <c r="D375" s="227"/>
      <c r="E375" s="227"/>
      <c r="F375" s="124"/>
      <c r="G375" s="124"/>
      <c r="H375" s="225">
        <f>SUM(H376:H382)</f>
        <v>0</v>
      </c>
      <c r="I375" s="226">
        <f>SUM(I376:I382)</f>
        <v>0</v>
      </c>
      <c r="J375" s="227" t="str">
        <f t="shared" si="19"/>
        <v>NB</v>
      </c>
      <c r="K375" s="124"/>
      <c r="L375" s="225"/>
      <c r="M375" s="225"/>
      <c r="N375" s="124"/>
      <c r="O375" s="124"/>
      <c r="P375" s="226">
        <f t="shared" si="15"/>
        <v>0</v>
      </c>
      <c r="Q375" s="226">
        <f>SUM(Q376:Q382)</f>
        <v>0</v>
      </c>
      <c r="R375" s="227" t="str">
        <f>IF(P375,(P375-Q375)/P375,"NB")</f>
        <v>NB</v>
      </c>
    </row>
    <row r="376" spans="1:18" ht="60">
      <c r="A376" s="210" t="s">
        <v>797</v>
      </c>
      <c r="B376" s="56" t="s">
        <v>766</v>
      </c>
      <c r="C376" s="50"/>
      <c r="D376" s="127"/>
      <c r="E376" s="127"/>
      <c r="F376" s="196"/>
      <c r="G376" s="196"/>
      <c r="H376" s="351"/>
      <c r="I376" s="127"/>
      <c r="J376" s="196" t="str">
        <f t="shared" si="19"/>
        <v>NB</v>
      </c>
      <c r="K376" s="127"/>
      <c r="L376" s="127"/>
      <c r="M376" s="127"/>
      <c r="N376" s="194"/>
      <c r="O376" s="194"/>
      <c r="P376" s="162">
        <f t="shared" si="15"/>
        <v>0</v>
      </c>
      <c r="Q376" s="127"/>
      <c r="R376" s="202" t="str">
        <f>IF(P376,(P376-Q376)/P376,"NB")</f>
        <v>NB</v>
      </c>
    </row>
    <row r="377" spans="1:18" ht="15.75">
      <c r="A377" s="210" t="s">
        <v>798</v>
      </c>
      <c r="B377" s="56" t="s">
        <v>644</v>
      </c>
      <c r="C377" s="50"/>
      <c r="D377" s="50"/>
      <c r="E377" s="50"/>
      <c r="F377" s="196"/>
      <c r="G377" s="196"/>
      <c r="H377" s="348"/>
      <c r="I377" s="126"/>
      <c r="J377" s="196" t="str">
        <f t="shared" si="19"/>
        <v>NB</v>
      </c>
      <c r="K377" s="50"/>
      <c r="L377" s="50"/>
      <c r="M377" s="50"/>
      <c r="N377" s="194"/>
      <c r="O377" s="194"/>
      <c r="P377" s="162">
        <f t="shared" si="15"/>
        <v>0</v>
      </c>
      <c r="Q377" s="50"/>
      <c r="R377" s="202" t="str">
        <f>IF(P377,(P377-Q377)/P377,"NB")</f>
        <v>NB</v>
      </c>
    </row>
    <row r="378" spans="1:18" ht="15.75">
      <c r="A378" s="210" t="s">
        <v>799</v>
      </c>
      <c r="B378" s="56" t="s">
        <v>678</v>
      </c>
      <c r="C378" s="50"/>
      <c r="D378" s="50"/>
      <c r="E378" s="50"/>
      <c r="F378" s="196"/>
      <c r="G378" s="196"/>
      <c r="H378" s="348"/>
      <c r="I378" s="126"/>
      <c r="J378" s="196" t="str">
        <f t="shared" si="19"/>
        <v>NB</v>
      </c>
      <c r="K378" s="50"/>
      <c r="L378" s="50"/>
      <c r="M378" s="50"/>
      <c r="N378" s="194"/>
      <c r="O378" s="194"/>
      <c r="P378" s="162">
        <f t="shared" si="15"/>
        <v>0</v>
      </c>
      <c r="Q378" s="50"/>
      <c r="R378" s="202" t="str">
        <f>IF(P378,(P378-Q378)/P378,"NB")</f>
        <v>NB</v>
      </c>
    </row>
    <row r="379" spans="1:18" ht="48.75" customHeight="1">
      <c r="A379" s="210" t="s">
        <v>800</v>
      </c>
      <c r="B379" s="56" t="s">
        <v>679</v>
      </c>
      <c r="C379" s="50"/>
      <c r="D379" s="50"/>
      <c r="E379" s="50"/>
      <c r="F379" s="196"/>
      <c r="G379" s="196"/>
      <c r="H379" s="348"/>
      <c r="I379" s="126"/>
      <c r="J379" s="196" t="str">
        <f t="shared" si="19"/>
        <v>NB</v>
      </c>
      <c r="K379" s="50"/>
      <c r="L379" s="50"/>
      <c r="M379" s="50"/>
      <c r="N379" s="194"/>
      <c r="O379" s="194"/>
      <c r="P379" s="162">
        <f t="shared" si="15"/>
        <v>0</v>
      </c>
      <c r="Q379" s="50"/>
      <c r="R379" s="202" t="str">
        <f>IF(P379,(P379-Q379)/P379,"NB")</f>
        <v>NB</v>
      </c>
    </row>
    <row r="380" spans="1:18" ht="17.25" customHeight="1">
      <c r="A380" s="210" t="s">
        <v>801</v>
      </c>
      <c r="B380" s="56" t="s">
        <v>806</v>
      </c>
      <c r="C380" s="50"/>
      <c r="D380" s="50"/>
      <c r="E380" s="50"/>
      <c r="F380" s="196"/>
      <c r="G380" s="196"/>
      <c r="H380" s="348"/>
      <c r="I380" s="126"/>
      <c r="J380" s="196" t="str">
        <f t="shared" si="19"/>
        <v>NB</v>
      </c>
      <c r="K380" s="50"/>
      <c r="L380" s="50"/>
      <c r="M380" s="50"/>
      <c r="N380" s="194"/>
      <c r="O380" s="194"/>
      <c r="P380" s="162">
        <f t="shared" si="15"/>
        <v>0</v>
      </c>
      <c r="Q380" s="50"/>
      <c r="R380" s="202" t="str">
        <f>IF(P380,(P380-Q380)/P380,"NB")</f>
        <v>NB</v>
      </c>
    </row>
    <row r="381" spans="1:18" ht="15.75" customHeight="1">
      <c r="A381" s="210" t="s">
        <v>802</v>
      </c>
      <c r="B381" s="56" t="s">
        <v>795</v>
      </c>
      <c r="C381" s="50"/>
      <c r="D381" s="50"/>
      <c r="E381" s="50"/>
      <c r="F381" s="196"/>
      <c r="G381" s="196"/>
      <c r="H381" s="348"/>
      <c r="I381" s="126"/>
      <c r="J381" s="196" t="str">
        <f t="shared" si="19"/>
        <v>NB</v>
      </c>
      <c r="K381" s="50"/>
      <c r="L381" s="50"/>
      <c r="M381" s="50"/>
      <c r="N381" s="194"/>
      <c r="O381" s="194"/>
      <c r="P381" s="162">
        <f t="shared" si="15"/>
        <v>0</v>
      </c>
      <c r="Q381" s="50"/>
      <c r="R381" s="202" t="str">
        <f>IF(P381,(P381-Q381)/P381,"NB")</f>
        <v>NB</v>
      </c>
    </row>
    <row r="382" spans="1:18" ht="16.5" customHeight="1">
      <c r="A382" s="210" t="s">
        <v>803</v>
      </c>
      <c r="B382" s="56" t="s">
        <v>796</v>
      </c>
      <c r="C382" s="50"/>
      <c r="D382" s="50"/>
      <c r="E382" s="50"/>
      <c r="F382" s="196"/>
      <c r="G382" s="196"/>
      <c r="H382" s="348"/>
      <c r="I382" s="126"/>
      <c r="J382" s="196" t="str">
        <f t="shared" si="19"/>
        <v>NB</v>
      </c>
      <c r="K382" s="50"/>
      <c r="L382" s="50"/>
      <c r="M382" s="50"/>
      <c r="N382" s="194"/>
      <c r="O382" s="194"/>
      <c r="P382" s="162">
        <f t="shared" si="15"/>
        <v>0</v>
      </c>
      <c r="Q382" s="50"/>
      <c r="R382" s="202" t="str">
        <f>IF(P382,(P382-Q382)/P382,"NB")</f>
        <v>NB</v>
      </c>
    </row>
    <row r="383" spans="1:65" s="185" customFormat="1" ht="15.75">
      <c r="A383" s="294" t="s">
        <v>403</v>
      </c>
      <c r="B383" s="124" t="s">
        <v>643</v>
      </c>
      <c r="C383" s="11"/>
      <c r="D383" s="189"/>
      <c r="E383" s="189"/>
      <c r="F383" s="199"/>
      <c r="G383" s="199"/>
      <c r="H383" s="349">
        <f>SUM(H384:H389)</f>
        <v>320</v>
      </c>
      <c r="I383" s="190">
        <f>SUM(I384:I389)</f>
        <v>0</v>
      </c>
      <c r="J383" s="199">
        <f t="shared" si="19"/>
        <v>1</v>
      </c>
      <c r="K383" s="189"/>
      <c r="L383" s="189"/>
      <c r="M383" s="189"/>
      <c r="N383" s="198"/>
      <c r="O383" s="198"/>
      <c r="P383" s="134">
        <f t="shared" si="15"/>
        <v>320</v>
      </c>
      <c r="Q383" s="190">
        <f>SUM(Q384:Q389)</f>
        <v>0</v>
      </c>
      <c r="R383" s="190">
        <f>IF(P383,(P383-Q383)/P383,"NB")</f>
        <v>1</v>
      </c>
      <c r="S383" s="167"/>
      <c r="T383" s="167"/>
      <c r="U383" s="167"/>
      <c r="V383" s="167"/>
      <c r="W383" s="167"/>
      <c r="X383" s="167"/>
      <c r="Y383" s="167"/>
      <c r="Z383" s="167"/>
      <c r="AA383" s="167"/>
      <c r="AB383" s="167"/>
      <c r="AC383" s="167"/>
      <c r="AD383" s="167"/>
      <c r="AE383" s="167"/>
      <c r="AF383" s="167"/>
      <c r="AG383" s="167"/>
      <c r="AH383" s="167"/>
      <c r="AI383" s="167"/>
      <c r="AJ383" s="167"/>
      <c r="AK383" s="167"/>
      <c r="AL383" s="167"/>
      <c r="AM383" s="167"/>
      <c r="AN383" s="167"/>
      <c r="AO383" s="167"/>
      <c r="AP383" s="167"/>
      <c r="AQ383" s="167"/>
      <c r="AR383" s="167"/>
      <c r="AS383" s="167"/>
      <c r="AT383" s="167"/>
      <c r="AU383" s="167"/>
      <c r="AV383" s="167"/>
      <c r="AW383" s="167"/>
      <c r="AX383" s="167"/>
      <c r="AY383" s="167"/>
      <c r="AZ383" s="167"/>
      <c r="BA383" s="167"/>
      <c r="BB383" s="167"/>
      <c r="BC383" s="167"/>
      <c r="BD383" s="167"/>
      <c r="BE383" s="167"/>
      <c r="BF383" s="167"/>
      <c r="BG383" s="167"/>
      <c r="BH383" s="167"/>
      <c r="BI383" s="167"/>
      <c r="BJ383" s="167"/>
      <c r="BK383" s="167"/>
      <c r="BL383" s="167"/>
      <c r="BM383" s="167"/>
    </row>
    <row r="384" spans="1:18" ht="15.75">
      <c r="A384" s="286" t="s">
        <v>406</v>
      </c>
      <c r="B384" s="56" t="s">
        <v>644</v>
      </c>
      <c r="C384" s="50"/>
      <c r="D384" s="50"/>
      <c r="E384" s="50"/>
      <c r="F384" s="196"/>
      <c r="G384" s="196"/>
      <c r="H384" s="348">
        <v>100</v>
      </c>
      <c r="I384" s="126"/>
      <c r="J384" s="196">
        <f t="shared" si="19"/>
        <v>1</v>
      </c>
      <c r="K384" s="50"/>
      <c r="L384" s="50"/>
      <c r="M384" s="50"/>
      <c r="N384" s="194"/>
      <c r="O384" s="194"/>
      <c r="P384" s="162">
        <f t="shared" si="15"/>
        <v>100</v>
      </c>
      <c r="Q384" s="50"/>
      <c r="R384" s="202">
        <f>IF(P384,(P384-Q384)/P384,"NB")</f>
        <v>1</v>
      </c>
    </row>
    <row r="385" spans="1:18" ht="15.75">
      <c r="A385" s="286" t="s">
        <v>407</v>
      </c>
      <c r="B385" s="56" t="s">
        <v>641</v>
      </c>
      <c r="C385" s="50"/>
      <c r="D385" s="50"/>
      <c r="E385" s="50"/>
      <c r="F385" s="196"/>
      <c r="G385" s="196"/>
      <c r="H385" s="348">
        <v>5</v>
      </c>
      <c r="I385" s="126"/>
      <c r="J385" s="196">
        <f t="shared" si="19"/>
        <v>1</v>
      </c>
      <c r="K385" s="50"/>
      <c r="L385" s="50"/>
      <c r="M385" s="50"/>
      <c r="N385" s="194"/>
      <c r="O385" s="194"/>
      <c r="P385" s="162">
        <f t="shared" si="15"/>
        <v>5</v>
      </c>
      <c r="Q385" s="50"/>
      <c r="R385" s="202">
        <f>IF(P385,(P385-Q385)/P385,"NB")</f>
        <v>1</v>
      </c>
    </row>
    <row r="386" spans="1:18" ht="15.75">
      <c r="A386" s="286" t="s">
        <v>408</v>
      </c>
      <c r="B386" s="56" t="s">
        <v>767</v>
      </c>
      <c r="C386" s="50"/>
      <c r="D386" s="50"/>
      <c r="E386" s="50"/>
      <c r="F386" s="196"/>
      <c r="G386" s="196"/>
      <c r="H386" s="348">
        <v>90</v>
      </c>
      <c r="I386" s="126"/>
      <c r="J386" s="196">
        <f t="shared" si="19"/>
        <v>1</v>
      </c>
      <c r="K386" s="50"/>
      <c r="L386" s="50"/>
      <c r="M386" s="50"/>
      <c r="N386" s="194"/>
      <c r="O386" s="194"/>
      <c r="P386" s="162">
        <f t="shared" si="15"/>
        <v>90</v>
      </c>
      <c r="Q386" s="50"/>
      <c r="R386" s="202">
        <f>IF(P386,(P386-Q386)/P386,"NB")</f>
        <v>1</v>
      </c>
    </row>
    <row r="387" spans="1:18" ht="15.75">
      <c r="A387" s="286" t="s">
        <v>409</v>
      </c>
      <c r="B387" s="56" t="s">
        <v>645</v>
      </c>
      <c r="C387" s="50"/>
      <c r="D387" s="50"/>
      <c r="E387" s="50"/>
      <c r="F387" s="196"/>
      <c r="G387" s="196"/>
      <c r="H387" s="348">
        <v>100</v>
      </c>
      <c r="I387" s="126"/>
      <c r="J387" s="196">
        <f t="shared" si="19"/>
        <v>1</v>
      </c>
      <c r="K387" s="50"/>
      <c r="L387" s="50"/>
      <c r="M387" s="50"/>
      <c r="N387" s="194"/>
      <c r="O387" s="194"/>
      <c r="P387" s="162">
        <f t="shared" si="15"/>
        <v>100</v>
      </c>
      <c r="Q387" s="50"/>
      <c r="R387" s="202">
        <f>IF(P387,(P387-Q387)/P387,"NB")</f>
        <v>1</v>
      </c>
    </row>
    <row r="388" spans="1:18" ht="15.75">
      <c r="A388" s="286" t="s">
        <v>711</v>
      </c>
      <c r="B388" s="56" t="s">
        <v>646</v>
      </c>
      <c r="C388" s="50"/>
      <c r="D388" s="50"/>
      <c r="E388" s="50"/>
      <c r="F388" s="196"/>
      <c r="G388" s="196"/>
      <c r="H388" s="348">
        <v>20</v>
      </c>
      <c r="I388" s="126"/>
      <c r="J388" s="196">
        <f t="shared" si="19"/>
        <v>1</v>
      </c>
      <c r="K388" s="50"/>
      <c r="L388" s="50"/>
      <c r="M388" s="50"/>
      <c r="N388" s="194"/>
      <c r="O388" s="194"/>
      <c r="P388" s="162">
        <f t="shared" si="15"/>
        <v>20</v>
      </c>
      <c r="Q388" s="50"/>
      <c r="R388" s="202">
        <f>IF(P388,(P388-Q388)/P388,"NB")</f>
        <v>1</v>
      </c>
    </row>
    <row r="389" spans="1:18" ht="30">
      <c r="A389" s="286" t="s">
        <v>410</v>
      </c>
      <c r="B389" s="56" t="s">
        <v>647</v>
      </c>
      <c r="C389" s="50"/>
      <c r="D389" s="50"/>
      <c r="E389" s="50"/>
      <c r="F389" s="196"/>
      <c r="G389" s="196"/>
      <c r="H389" s="348">
        <v>5</v>
      </c>
      <c r="I389" s="126"/>
      <c r="J389" s="196">
        <f t="shared" si="19"/>
        <v>1</v>
      </c>
      <c r="K389" s="50"/>
      <c r="L389" s="50"/>
      <c r="M389" s="50"/>
      <c r="N389" s="194"/>
      <c r="O389" s="194"/>
      <c r="P389" s="162">
        <f t="shared" si="15"/>
        <v>5</v>
      </c>
      <c r="Q389" s="50"/>
      <c r="R389" s="202">
        <f>IF(P389,(P389-Q389)/P389,"NB")</f>
        <v>1</v>
      </c>
    </row>
    <row r="390" spans="1:18" s="167" customFormat="1" ht="15.75">
      <c r="A390" s="295" t="s">
        <v>404</v>
      </c>
      <c r="B390" s="251" t="s">
        <v>730</v>
      </c>
      <c r="C390" s="82"/>
      <c r="D390" s="82"/>
      <c r="E390" s="82"/>
      <c r="F390" s="196"/>
      <c r="G390" s="196"/>
      <c r="H390" s="352"/>
      <c r="I390" s="191"/>
      <c r="J390" s="196" t="str">
        <f t="shared" si="19"/>
        <v>NB</v>
      </c>
      <c r="K390" s="82"/>
      <c r="L390" s="82"/>
      <c r="M390" s="82"/>
      <c r="N390" s="194"/>
      <c r="O390" s="194"/>
      <c r="P390" s="157">
        <f t="shared" si="15"/>
        <v>0</v>
      </c>
      <c r="Q390" s="82"/>
      <c r="R390" s="202" t="str">
        <f>IF(P390,(P390-Q390)/P390,"NB")</f>
        <v>NB</v>
      </c>
    </row>
    <row r="391" spans="1:18" s="167" customFormat="1" ht="33.75" customHeight="1">
      <c r="A391" s="295" t="s">
        <v>405</v>
      </c>
      <c r="B391" s="251" t="s">
        <v>768</v>
      </c>
      <c r="C391" s="82"/>
      <c r="D391" s="82"/>
      <c r="E391" s="82"/>
      <c r="F391" s="196"/>
      <c r="G391" s="196"/>
      <c r="H391" s="352"/>
      <c r="I391" s="191"/>
      <c r="J391" s="196" t="str">
        <f t="shared" si="19"/>
        <v>NB</v>
      </c>
      <c r="K391" s="82"/>
      <c r="L391" s="82"/>
      <c r="M391" s="82"/>
      <c r="N391" s="194"/>
      <c r="O391" s="194"/>
      <c r="P391" s="157">
        <f t="shared" si="15"/>
        <v>0</v>
      </c>
      <c r="Q391" s="82"/>
      <c r="R391" s="202" t="str">
        <f>IF(P391,(P391-Q391)/P391,"NB")</f>
        <v>NB</v>
      </c>
    </row>
    <row r="392" spans="1:65" s="185" customFormat="1" ht="30">
      <c r="A392" s="27" t="s">
        <v>648</v>
      </c>
      <c r="B392" s="124" t="s">
        <v>680</v>
      </c>
      <c r="C392" s="11"/>
      <c r="D392" s="189"/>
      <c r="E392" s="189"/>
      <c r="F392" s="189"/>
      <c r="G392" s="189"/>
      <c r="H392" s="349">
        <f>SUM(H393:H405)</f>
        <v>20</v>
      </c>
      <c r="I392" s="190">
        <f>SUM(I393:I405)</f>
        <v>0</v>
      </c>
      <c r="J392" s="189"/>
      <c r="K392" s="189"/>
      <c r="L392" s="189"/>
      <c r="M392" s="189"/>
      <c r="N392" s="189"/>
      <c r="O392" s="189"/>
      <c r="P392" s="134">
        <f t="shared" si="15"/>
        <v>20</v>
      </c>
      <c r="Q392" s="190">
        <f>SUM(Q393:Q405)</f>
        <v>0</v>
      </c>
      <c r="R392" s="190">
        <f>IF(P392,(P392-Q392)/P392,"NB")</f>
        <v>1</v>
      </c>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c r="BC392" s="167"/>
      <c r="BD392" s="167"/>
      <c r="BE392" s="167"/>
      <c r="BF392" s="167"/>
      <c r="BG392" s="167"/>
      <c r="BH392" s="167"/>
      <c r="BI392" s="167"/>
      <c r="BJ392" s="167"/>
      <c r="BK392" s="167"/>
      <c r="BL392" s="167"/>
      <c r="BM392" s="167"/>
    </row>
    <row r="393" spans="1:18" ht="15.75">
      <c r="A393" s="210" t="s">
        <v>649</v>
      </c>
      <c r="B393" s="56" t="s">
        <v>681</v>
      </c>
      <c r="C393" s="50"/>
      <c r="D393" s="50"/>
      <c r="E393" s="50"/>
      <c r="F393" s="196"/>
      <c r="G393" s="196"/>
      <c r="H393" s="352">
        <v>20</v>
      </c>
      <c r="I393" s="191"/>
      <c r="J393" s="196">
        <f aca="true" t="shared" si="20" ref="J393:J405">IF(H393,(H393-I393)/H393,"NB")</f>
        <v>1</v>
      </c>
      <c r="K393" s="50"/>
      <c r="L393" s="50"/>
      <c r="M393" s="50"/>
      <c r="N393" s="194"/>
      <c r="O393" s="194"/>
      <c r="P393" s="162">
        <f t="shared" si="15"/>
        <v>20</v>
      </c>
      <c r="Q393" s="50"/>
      <c r="R393" s="202">
        <f>IF(P393,(P393-Q393)/P393,"NB")</f>
        <v>1</v>
      </c>
    </row>
    <row r="394" spans="1:18" ht="15.75">
      <c r="A394" s="210" t="s">
        <v>650</v>
      </c>
      <c r="B394" s="56" t="s">
        <v>682</v>
      </c>
      <c r="C394" s="50"/>
      <c r="D394" s="50"/>
      <c r="E394" s="50"/>
      <c r="F394" s="196"/>
      <c r="G394" s="196"/>
      <c r="H394" s="352"/>
      <c r="I394" s="191"/>
      <c r="J394" s="196" t="str">
        <f t="shared" si="20"/>
        <v>NB</v>
      </c>
      <c r="K394" s="50"/>
      <c r="L394" s="50"/>
      <c r="M394" s="50"/>
      <c r="N394" s="194"/>
      <c r="O394" s="194"/>
      <c r="P394" s="162">
        <f t="shared" si="15"/>
        <v>0</v>
      </c>
      <c r="Q394" s="50"/>
      <c r="R394" s="202" t="str">
        <f>IF(P394,(P394-Q394)/P394,"NB")</f>
        <v>NB</v>
      </c>
    </row>
    <row r="395" spans="1:18" ht="15.75">
      <c r="A395" s="210" t="s">
        <v>651</v>
      </c>
      <c r="B395" s="56" t="s">
        <v>683</v>
      </c>
      <c r="C395" s="50"/>
      <c r="D395" s="50"/>
      <c r="E395" s="50"/>
      <c r="F395" s="196"/>
      <c r="G395" s="196"/>
      <c r="H395" s="352"/>
      <c r="I395" s="191"/>
      <c r="J395" s="196" t="str">
        <f t="shared" si="20"/>
        <v>NB</v>
      </c>
      <c r="K395" s="50"/>
      <c r="L395" s="50"/>
      <c r="M395" s="50"/>
      <c r="N395" s="194"/>
      <c r="O395" s="194"/>
      <c r="P395" s="162">
        <f t="shared" si="15"/>
        <v>0</v>
      </c>
      <c r="Q395" s="50"/>
      <c r="R395" s="202" t="str">
        <f>IF(P395,(P395-Q395)/P395,"NB")</f>
        <v>NB</v>
      </c>
    </row>
    <row r="396" spans="1:18" ht="15.75">
      <c r="A396" s="210" t="s">
        <v>712</v>
      </c>
      <c r="B396" s="56" t="s">
        <v>684</v>
      </c>
      <c r="C396" s="50"/>
      <c r="D396" s="50"/>
      <c r="E396" s="50"/>
      <c r="F396" s="196"/>
      <c r="G396" s="196"/>
      <c r="H396" s="352"/>
      <c r="I396" s="191"/>
      <c r="J396" s="196" t="str">
        <f t="shared" si="20"/>
        <v>NB</v>
      </c>
      <c r="K396" s="50"/>
      <c r="L396" s="50"/>
      <c r="M396" s="50"/>
      <c r="N396" s="194"/>
      <c r="O396" s="194"/>
      <c r="P396" s="162">
        <f t="shared" si="15"/>
        <v>0</v>
      </c>
      <c r="Q396" s="50"/>
      <c r="R396" s="202" t="str">
        <f>IF(P396,(P396-Q396)/P396,"NB")</f>
        <v>NB</v>
      </c>
    </row>
    <row r="397" spans="1:18" ht="15.75">
      <c r="A397" s="210" t="s">
        <v>713</v>
      </c>
      <c r="B397" s="56" t="s">
        <v>685</v>
      </c>
      <c r="C397" s="50"/>
      <c r="D397" s="50"/>
      <c r="E397" s="50"/>
      <c r="F397" s="196"/>
      <c r="G397" s="196"/>
      <c r="H397" s="352"/>
      <c r="I397" s="191"/>
      <c r="J397" s="196" t="str">
        <f t="shared" si="20"/>
        <v>NB</v>
      </c>
      <c r="K397" s="50"/>
      <c r="L397" s="50"/>
      <c r="M397" s="50"/>
      <c r="N397" s="194"/>
      <c r="O397" s="194"/>
      <c r="P397" s="162">
        <f t="shared" si="15"/>
        <v>0</v>
      </c>
      <c r="Q397" s="50"/>
      <c r="R397" s="202" t="str">
        <f>IF(P397,(P397-Q397)/P397,"NB")</f>
        <v>NB</v>
      </c>
    </row>
    <row r="398" spans="1:18" ht="15.75">
      <c r="A398" s="210" t="s">
        <v>714</v>
      </c>
      <c r="B398" s="56" t="s">
        <v>686</v>
      </c>
      <c r="C398" s="50"/>
      <c r="D398" s="50"/>
      <c r="E398" s="50"/>
      <c r="F398" s="196"/>
      <c r="G398" s="196"/>
      <c r="H398" s="352"/>
      <c r="I398" s="191"/>
      <c r="J398" s="196" t="str">
        <f t="shared" si="20"/>
        <v>NB</v>
      </c>
      <c r="K398" s="50"/>
      <c r="L398" s="50"/>
      <c r="M398" s="50"/>
      <c r="N398" s="194"/>
      <c r="O398" s="194"/>
      <c r="P398" s="162">
        <f t="shared" si="15"/>
        <v>0</v>
      </c>
      <c r="Q398" s="50"/>
      <c r="R398" s="202" t="str">
        <f>IF(P398,(P398-Q398)/P398,"NB")</f>
        <v>NB</v>
      </c>
    </row>
    <row r="399" spans="1:18" ht="15.75">
      <c r="A399" s="210" t="s">
        <v>715</v>
      </c>
      <c r="B399" s="56" t="s">
        <v>687</v>
      </c>
      <c r="C399" s="50"/>
      <c r="D399" s="50"/>
      <c r="E399" s="50"/>
      <c r="F399" s="196"/>
      <c r="G399" s="196"/>
      <c r="H399" s="352"/>
      <c r="I399" s="191"/>
      <c r="J399" s="196" t="str">
        <f t="shared" si="20"/>
        <v>NB</v>
      </c>
      <c r="K399" s="50"/>
      <c r="L399" s="50"/>
      <c r="M399" s="50"/>
      <c r="N399" s="194"/>
      <c r="O399" s="194"/>
      <c r="P399" s="162">
        <f t="shared" si="15"/>
        <v>0</v>
      </c>
      <c r="Q399" s="50"/>
      <c r="R399" s="202" t="str">
        <f>IF(P399,(P399-Q399)/P399,"NB")</f>
        <v>NB</v>
      </c>
    </row>
    <row r="400" spans="1:18" ht="15.75">
      <c r="A400" s="210" t="s">
        <v>716</v>
      </c>
      <c r="B400" s="56" t="s">
        <v>688</v>
      </c>
      <c r="C400" s="50"/>
      <c r="D400" s="50"/>
      <c r="E400" s="50"/>
      <c r="F400" s="196"/>
      <c r="G400" s="196"/>
      <c r="H400" s="352"/>
      <c r="I400" s="191"/>
      <c r="J400" s="196" t="str">
        <f t="shared" si="20"/>
        <v>NB</v>
      </c>
      <c r="K400" s="50"/>
      <c r="L400" s="50"/>
      <c r="M400" s="50"/>
      <c r="N400" s="194"/>
      <c r="O400" s="194"/>
      <c r="P400" s="162">
        <f t="shared" si="15"/>
        <v>0</v>
      </c>
      <c r="Q400" s="50"/>
      <c r="R400" s="202" t="str">
        <f>IF(P400,(P400-Q400)/P400,"NB")</f>
        <v>NB</v>
      </c>
    </row>
    <row r="401" spans="1:18" ht="30.75">
      <c r="A401" s="210" t="s">
        <v>717</v>
      </c>
      <c r="B401" s="56" t="s">
        <v>689</v>
      </c>
      <c r="C401" s="50"/>
      <c r="D401" s="50"/>
      <c r="E401" s="50"/>
      <c r="F401" s="196"/>
      <c r="G401" s="196"/>
      <c r="H401" s="352"/>
      <c r="I401" s="191"/>
      <c r="J401" s="196" t="str">
        <f t="shared" si="20"/>
        <v>NB</v>
      </c>
      <c r="K401" s="50"/>
      <c r="L401" s="50"/>
      <c r="M401" s="50"/>
      <c r="N401" s="194"/>
      <c r="O401" s="194"/>
      <c r="P401" s="162">
        <f t="shared" si="15"/>
        <v>0</v>
      </c>
      <c r="Q401" s="50"/>
      <c r="R401" s="202" t="str">
        <f>IF(P401,(P401-Q401)/P401,"NB")</f>
        <v>NB</v>
      </c>
    </row>
    <row r="402" spans="1:18" ht="15.75">
      <c r="A402" s="210" t="s">
        <v>728</v>
      </c>
      <c r="B402" s="56" t="s">
        <v>690</v>
      </c>
      <c r="C402" s="50"/>
      <c r="D402" s="50"/>
      <c r="E402" s="50"/>
      <c r="F402" s="196"/>
      <c r="G402" s="196"/>
      <c r="H402" s="352"/>
      <c r="I402" s="191"/>
      <c r="J402" s="196" t="str">
        <f t="shared" si="20"/>
        <v>NB</v>
      </c>
      <c r="K402" s="50"/>
      <c r="L402" s="50"/>
      <c r="M402" s="50"/>
      <c r="N402" s="194"/>
      <c r="O402" s="194"/>
      <c r="P402" s="162">
        <f t="shared" si="15"/>
        <v>0</v>
      </c>
      <c r="Q402" s="50"/>
      <c r="R402" s="202" t="str">
        <f>IF(P402,(P402-Q402)/P402,"NB")</f>
        <v>NB</v>
      </c>
    </row>
    <row r="403" spans="1:18" ht="15.75">
      <c r="A403" s="289" t="s">
        <v>729</v>
      </c>
      <c r="B403" s="229" t="s">
        <v>860</v>
      </c>
      <c r="C403" s="50"/>
      <c r="D403" s="50"/>
      <c r="E403" s="50"/>
      <c r="F403" s="196"/>
      <c r="G403" s="196"/>
      <c r="H403" s="352"/>
      <c r="I403" s="191"/>
      <c r="J403" s="196" t="str">
        <f t="shared" si="20"/>
        <v>NB</v>
      </c>
      <c r="K403" s="50"/>
      <c r="L403" s="50"/>
      <c r="M403" s="50"/>
      <c r="N403" s="194"/>
      <c r="O403" s="194"/>
      <c r="P403" s="162">
        <f>H403</f>
        <v>0</v>
      </c>
      <c r="Q403" s="50"/>
      <c r="R403" s="202" t="str">
        <f>IF(P403,(P403-Q403)/P403,"NB")</f>
        <v>NB</v>
      </c>
    </row>
    <row r="404" spans="1:18" ht="28.5">
      <c r="A404" s="289" t="s">
        <v>892</v>
      </c>
      <c r="B404" s="229" t="s">
        <v>861</v>
      </c>
      <c r="C404" s="50"/>
      <c r="D404" s="50"/>
      <c r="E404" s="50"/>
      <c r="F404" s="196"/>
      <c r="G404" s="196"/>
      <c r="H404" s="352"/>
      <c r="I404" s="191"/>
      <c r="J404" s="196" t="str">
        <f t="shared" si="20"/>
        <v>NB</v>
      </c>
      <c r="K404" s="50"/>
      <c r="L404" s="50"/>
      <c r="M404" s="50"/>
      <c r="N404" s="194"/>
      <c r="O404" s="194"/>
      <c r="P404" s="162">
        <f>H404</f>
        <v>0</v>
      </c>
      <c r="Q404" s="50"/>
      <c r="R404" s="202" t="str">
        <f>IF(P404,(P404-Q404)/P404,"NB")</f>
        <v>NB</v>
      </c>
    </row>
    <row r="405" spans="1:18" ht="15.75">
      <c r="A405" s="210" t="s">
        <v>893</v>
      </c>
      <c r="B405" s="56" t="s">
        <v>731</v>
      </c>
      <c r="C405" s="50"/>
      <c r="D405" s="50"/>
      <c r="E405" s="50"/>
      <c r="F405" s="196"/>
      <c r="G405" s="196"/>
      <c r="H405" s="352"/>
      <c r="I405" s="191"/>
      <c r="J405" s="196" t="str">
        <f t="shared" si="20"/>
        <v>NB</v>
      </c>
      <c r="K405" s="50"/>
      <c r="L405" s="50"/>
      <c r="M405" s="50"/>
      <c r="N405" s="194"/>
      <c r="O405" s="194"/>
      <c r="P405" s="162">
        <f t="shared" si="15"/>
        <v>0</v>
      </c>
      <c r="Q405" s="50"/>
      <c r="R405" s="202" t="str">
        <f>IF(P405,(P405-Q405)/P405,"NB")</f>
        <v>NB</v>
      </c>
    </row>
    <row r="406" spans="1:18" s="167" customFormat="1" ht="15.75">
      <c r="A406" s="267" t="s">
        <v>271</v>
      </c>
      <c r="B406" s="2" t="s">
        <v>272</v>
      </c>
      <c r="C406" s="2"/>
      <c r="D406" s="2"/>
      <c r="E406" s="2"/>
      <c r="F406" s="2"/>
      <c r="G406" s="2"/>
      <c r="H406" s="341">
        <f>SUM(H407:H454)+0.75</f>
        <v>45.550000000000004</v>
      </c>
      <c r="I406" s="139">
        <f>SUM(I407:I454)</f>
        <v>0</v>
      </c>
      <c r="J406" s="2"/>
      <c r="K406" s="2"/>
      <c r="L406" s="2"/>
      <c r="M406" s="2"/>
      <c r="N406" s="2"/>
      <c r="O406" s="2"/>
      <c r="P406" s="158">
        <f t="shared" si="15"/>
        <v>45.550000000000004</v>
      </c>
      <c r="Q406" s="139">
        <f>SUM(Q407:Q454)</f>
        <v>0</v>
      </c>
      <c r="R406" s="139">
        <f>IF(P406,(P406-Q406)/P406,"NB")</f>
        <v>1</v>
      </c>
    </row>
    <row r="407" spans="1:18" ht="15.75">
      <c r="A407" s="296" t="s">
        <v>898</v>
      </c>
      <c r="B407" s="235" t="s">
        <v>899</v>
      </c>
      <c r="C407" s="56"/>
      <c r="D407" s="56"/>
      <c r="E407" s="56"/>
      <c r="F407" s="196"/>
      <c r="G407" s="196"/>
      <c r="H407" s="352"/>
      <c r="I407" s="191"/>
      <c r="J407" s="196" t="str">
        <f aca="true" t="shared" si="21" ref="J407:J454">IF(H407,(H407-I407)/H407,"NB")</f>
        <v>NB</v>
      </c>
      <c r="K407" s="56"/>
      <c r="L407" s="56"/>
      <c r="M407" s="56"/>
      <c r="N407" s="194"/>
      <c r="O407" s="194"/>
      <c r="P407" s="162">
        <f t="shared" si="15"/>
        <v>0</v>
      </c>
      <c r="Q407" s="56"/>
      <c r="R407" s="202" t="str">
        <f>IF(P407,(P407-Q407)/P407,"NB")</f>
        <v>NB</v>
      </c>
    </row>
    <row r="408" spans="1:18" ht="15.75">
      <c r="A408" s="297" t="s">
        <v>900</v>
      </c>
      <c r="B408" s="229" t="s">
        <v>901</v>
      </c>
      <c r="C408" s="56"/>
      <c r="D408" s="56"/>
      <c r="E408" s="56"/>
      <c r="F408" s="196"/>
      <c r="G408" s="196"/>
      <c r="H408" s="352">
        <v>0.05</v>
      </c>
      <c r="I408" s="191"/>
      <c r="J408" s="196">
        <f t="shared" si="21"/>
        <v>1</v>
      </c>
      <c r="K408" s="56"/>
      <c r="L408" s="56"/>
      <c r="M408" s="56"/>
      <c r="N408" s="194"/>
      <c r="O408" s="194"/>
      <c r="P408" s="162">
        <f t="shared" si="15"/>
        <v>0.05</v>
      </c>
      <c r="Q408" s="56"/>
      <c r="R408" s="202">
        <f>IF(P408,(P408-Q408)/P408,"NB")</f>
        <v>1</v>
      </c>
    </row>
    <row r="409" spans="1:18" ht="15.75">
      <c r="A409" s="297" t="s">
        <v>902</v>
      </c>
      <c r="B409" s="229" t="s">
        <v>903</v>
      </c>
      <c r="C409" s="56"/>
      <c r="D409" s="56"/>
      <c r="E409" s="56"/>
      <c r="F409" s="196"/>
      <c r="G409" s="196"/>
      <c r="H409" s="352">
        <v>0.03</v>
      </c>
      <c r="I409" s="191"/>
      <c r="J409" s="196">
        <f t="shared" si="21"/>
        <v>1</v>
      </c>
      <c r="K409" s="56"/>
      <c r="L409" s="56"/>
      <c r="M409" s="56"/>
      <c r="N409" s="194"/>
      <c r="O409" s="194"/>
      <c r="P409" s="162">
        <f t="shared" si="15"/>
        <v>0.03</v>
      </c>
      <c r="Q409" s="56"/>
      <c r="R409" s="202">
        <f>IF(P409,(P409-Q409)/P409,"NB")</f>
        <v>1</v>
      </c>
    </row>
    <row r="410" spans="1:18" ht="15.75">
      <c r="A410" s="297" t="s">
        <v>904</v>
      </c>
      <c r="B410" s="229" t="s">
        <v>905</v>
      </c>
      <c r="C410" s="56"/>
      <c r="D410" s="56"/>
      <c r="E410" s="56"/>
      <c r="F410" s="196"/>
      <c r="G410" s="196"/>
      <c r="H410" s="352">
        <v>0.6</v>
      </c>
      <c r="I410" s="191"/>
      <c r="J410" s="196">
        <f t="shared" si="21"/>
        <v>1</v>
      </c>
      <c r="K410" s="56"/>
      <c r="L410" s="56"/>
      <c r="M410" s="56"/>
      <c r="N410" s="194"/>
      <c r="O410" s="194"/>
      <c r="P410" s="162">
        <f t="shared" si="15"/>
        <v>0.6</v>
      </c>
      <c r="Q410" s="56"/>
      <c r="R410" s="202">
        <f>IF(P410,(P410-Q410)/P410,"NB")</f>
        <v>1</v>
      </c>
    </row>
    <row r="411" spans="1:18" ht="15.75">
      <c r="A411" s="296" t="s">
        <v>906</v>
      </c>
      <c r="B411" s="235" t="s">
        <v>907</v>
      </c>
      <c r="C411" s="56"/>
      <c r="D411" s="56"/>
      <c r="E411" s="56"/>
      <c r="F411" s="196"/>
      <c r="G411" s="196"/>
      <c r="H411" s="352"/>
      <c r="I411" s="191"/>
      <c r="J411" s="196" t="str">
        <f t="shared" si="21"/>
        <v>NB</v>
      </c>
      <c r="K411" s="56"/>
      <c r="L411" s="56"/>
      <c r="M411" s="56"/>
      <c r="N411" s="194"/>
      <c r="O411" s="194"/>
      <c r="P411" s="162">
        <f t="shared" si="15"/>
        <v>0</v>
      </c>
      <c r="Q411" s="56"/>
      <c r="R411" s="202" t="str">
        <f>IF(P411,(P411-Q411)/P411,"NB")</f>
        <v>NB</v>
      </c>
    </row>
    <row r="412" spans="1:18" ht="15.75" customHeight="1">
      <c r="A412" s="392" t="s">
        <v>908</v>
      </c>
      <c r="B412" s="386" t="s">
        <v>909</v>
      </c>
      <c r="C412" s="56"/>
      <c r="D412" s="56"/>
      <c r="E412" s="56"/>
      <c r="F412" s="196"/>
      <c r="G412" s="196"/>
      <c r="H412" s="352">
        <f>0.5+1.12+1</f>
        <v>2.62</v>
      </c>
      <c r="I412" s="191"/>
      <c r="J412" s="196">
        <f t="shared" si="21"/>
        <v>1</v>
      </c>
      <c r="K412" s="56"/>
      <c r="L412" s="56"/>
      <c r="M412" s="56"/>
      <c r="N412" s="194"/>
      <c r="O412" s="194"/>
      <c r="P412" s="162">
        <f t="shared" si="15"/>
        <v>2.62</v>
      </c>
      <c r="Q412" s="56"/>
      <c r="R412" s="202">
        <f>IF(P412,(P412-Q412)/P412,"NB")</f>
        <v>1</v>
      </c>
    </row>
    <row r="413" spans="1:18" ht="29.25" customHeight="1">
      <c r="A413" s="393"/>
      <c r="B413" s="386"/>
      <c r="C413" s="56"/>
      <c r="D413" s="56"/>
      <c r="E413" s="56"/>
      <c r="F413" s="196"/>
      <c r="G413" s="196"/>
      <c r="H413" s="352"/>
      <c r="I413" s="191"/>
      <c r="J413" s="196" t="str">
        <f t="shared" si="21"/>
        <v>NB</v>
      </c>
      <c r="K413" s="56"/>
      <c r="L413" s="56"/>
      <c r="M413" s="56"/>
      <c r="N413" s="194"/>
      <c r="O413" s="194"/>
      <c r="P413" s="162">
        <f t="shared" si="15"/>
        <v>0</v>
      </c>
      <c r="Q413" s="56"/>
      <c r="R413" s="202" t="str">
        <f>IF(P413,(P413-Q413)/P413,"NB")</f>
        <v>NB</v>
      </c>
    </row>
    <row r="414" spans="1:18" ht="15.75" customHeight="1">
      <c r="A414" s="394" t="s">
        <v>910</v>
      </c>
      <c r="B414" s="386" t="s">
        <v>911</v>
      </c>
      <c r="C414" s="56"/>
      <c r="D414" s="56"/>
      <c r="E414" s="56"/>
      <c r="F414" s="196"/>
      <c r="G414" s="196"/>
      <c r="H414" s="352">
        <v>0.5</v>
      </c>
      <c r="I414" s="191"/>
      <c r="J414" s="196">
        <f t="shared" si="21"/>
        <v>1</v>
      </c>
      <c r="K414" s="56"/>
      <c r="L414" s="56"/>
      <c r="M414" s="56"/>
      <c r="N414" s="194"/>
      <c r="O414" s="194"/>
      <c r="P414" s="162">
        <f t="shared" si="15"/>
        <v>0.5</v>
      </c>
      <c r="Q414" s="56"/>
      <c r="R414" s="202">
        <f>IF(P414,(P414-Q414)/P414,"NB")</f>
        <v>1</v>
      </c>
    </row>
    <row r="415" spans="1:18" ht="15.75">
      <c r="A415" s="395"/>
      <c r="B415" s="386"/>
      <c r="C415" s="56"/>
      <c r="D415" s="56"/>
      <c r="E415" s="56"/>
      <c r="F415" s="196"/>
      <c r="G415" s="196"/>
      <c r="H415" s="352"/>
      <c r="I415" s="191"/>
      <c r="J415" s="196" t="str">
        <f t="shared" si="21"/>
        <v>NB</v>
      </c>
      <c r="K415" s="56"/>
      <c r="L415" s="56"/>
      <c r="M415" s="56"/>
      <c r="N415" s="194"/>
      <c r="O415" s="194"/>
      <c r="P415" s="162">
        <f t="shared" si="15"/>
        <v>0</v>
      </c>
      <c r="Q415" s="56"/>
      <c r="R415" s="202" t="str">
        <f>IF(P415,(P415-Q415)/P415,"NB")</f>
        <v>NB</v>
      </c>
    </row>
    <row r="416" spans="1:18" ht="15.75">
      <c r="A416" s="298" t="s">
        <v>912</v>
      </c>
      <c r="B416" s="229" t="s">
        <v>399</v>
      </c>
      <c r="C416" s="56"/>
      <c r="D416" s="56"/>
      <c r="E416" s="56"/>
      <c r="F416" s="196"/>
      <c r="G416" s="196"/>
      <c r="H416" s="352">
        <v>2.74</v>
      </c>
      <c r="I416" s="191"/>
      <c r="J416" s="196">
        <f t="shared" si="21"/>
        <v>1</v>
      </c>
      <c r="K416" s="56"/>
      <c r="L416" s="56"/>
      <c r="M416" s="56"/>
      <c r="N416" s="194"/>
      <c r="O416" s="194"/>
      <c r="P416" s="162">
        <f t="shared" si="15"/>
        <v>2.74</v>
      </c>
      <c r="Q416" s="56"/>
      <c r="R416" s="202">
        <f>IF(P416,(P416-Q416)/P416,"NB")</f>
        <v>1</v>
      </c>
    </row>
    <row r="417" spans="1:18" ht="30" customHeight="1">
      <c r="A417" s="298" t="s">
        <v>968</v>
      </c>
      <c r="B417" s="229" t="s">
        <v>913</v>
      </c>
      <c r="C417" s="56"/>
      <c r="D417" s="56"/>
      <c r="E417" s="56"/>
      <c r="F417" s="196"/>
      <c r="G417" s="196"/>
      <c r="H417" s="352"/>
      <c r="I417" s="191"/>
      <c r="J417" s="196" t="str">
        <f t="shared" si="21"/>
        <v>NB</v>
      </c>
      <c r="K417" s="56"/>
      <c r="L417" s="56"/>
      <c r="M417" s="56"/>
      <c r="N417" s="194"/>
      <c r="O417" s="194"/>
      <c r="P417" s="162">
        <f t="shared" si="15"/>
        <v>0</v>
      </c>
      <c r="Q417" s="56"/>
      <c r="R417" s="202" t="str">
        <f>IF(P417,(P417-Q417)/P417,"NB")</f>
        <v>NB</v>
      </c>
    </row>
    <row r="418" spans="1:18" ht="15.75">
      <c r="A418" s="298" t="s">
        <v>914</v>
      </c>
      <c r="B418" s="229" t="s">
        <v>915</v>
      </c>
      <c r="C418" s="56"/>
      <c r="D418" s="56"/>
      <c r="E418" s="56"/>
      <c r="F418" s="196"/>
      <c r="G418" s="196"/>
      <c r="H418" s="352"/>
      <c r="I418" s="191"/>
      <c r="J418" s="196" t="str">
        <f t="shared" si="21"/>
        <v>NB</v>
      </c>
      <c r="K418" s="56"/>
      <c r="L418" s="56"/>
      <c r="M418" s="56"/>
      <c r="N418" s="194"/>
      <c r="O418" s="194"/>
      <c r="P418" s="162">
        <f t="shared" si="15"/>
        <v>0</v>
      </c>
      <c r="Q418" s="56"/>
      <c r="R418" s="202" t="str">
        <f>IF(P418,(P418-Q418)/P418,"NB")</f>
        <v>NB</v>
      </c>
    </row>
    <row r="419" spans="1:18" ht="15.75">
      <c r="A419" s="296" t="s">
        <v>916</v>
      </c>
      <c r="B419" s="235" t="s">
        <v>917</v>
      </c>
      <c r="C419" s="56"/>
      <c r="D419" s="56"/>
      <c r="E419" s="56"/>
      <c r="F419" s="196"/>
      <c r="G419" s="196"/>
      <c r="H419" s="352"/>
      <c r="I419" s="191"/>
      <c r="J419" s="196" t="str">
        <f t="shared" si="21"/>
        <v>NB</v>
      </c>
      <c r="K419" s="56"/>
      <c r="L419" s="56"/>
      <c r="M419" s="56"/>
      <c r="N419" s="194"/>
      <c r="O419" s="194"/>
      <c r="P419" s="162">
        <f t="shared" si="15"/>
        <v>0</v>
      </c>
      <c r="Q419" s="56"/>
      <c r="R419" s="202" t="str">
        <f>IF(P419,(P419-Q419)/P419,"NB")</f>
        <v>NB</v>
      </c>
    </row>
    <row r="420" spans="1:18" ht="30.75" customHeight="1">
      <c r="A420" s="298" t="s">
        <v>918</v>
      </c>
      <c r="B420" s="229" t="s">
        <v>919</v>
      </c>
      <c r="C420" s="56"/>
      <c r="D420" s="56"/>
      <c r="E420" s="56"/>
      <c r="F420" s="196"/>
      <c r="G420" s="196"/>
      <c r="H420" s="352">
        <v>4.5</v>
      </c>
      <c r="I420" s="191"/>
      <c r="J420" s="196">
        <f t="shared" si="21"/>
        <v>1</v>
      </c>
      <c r="K420" s="56"/>
      <c r="L420" s="56"/>
      <c r="M420" s="56"/>
      <c r="N420" s="194"/>
      <c r="O420" s="194"/>
      <c r="P420" s="162">
        <f t="shared" si="15"/>
        <v>4.5</v>
      </c>
      <c r="Q420" s="56"/>
      <c r="R420" s="202">
        <f>IF(P420,(P420-Q420)/P420,"NB")</f>
        <v>1</v>
      </c>
    </row>
    <row r="421" spans="1:18" ht="31.5" customHeight="1">
      <c r="A421" s="296" t="s">
        <v>920</v>
      </c>
      <c r="B421" s="237" t="s">
        <v>921</v>
      </c>
      <c r="C421" s="56"/>
      <c r="D421" s="56"/>
      <c r="E421" s="56"/>
      <c r="F421" s="196"/>
      <c r="G421" s="196"/>
      <c r="H421" s="352"/>
      <c r="I421" s="191"/>
      <c r="J421" s="196" t="str">
        <f t="shared" si="21"/>
        <v>NB</v>
      </c>
      <c r="K421" s="56"/>
      <c r="L421" s="56"/>
      <c r="M421" s="56"/>
      <c r="N421" s="194"/>
      <c r="O421" s="194"/>
      <c r="P421" s="162">
        <f t="shared" si="15"/>
        <v>0</v>
      </c>
      <c r="Q421" s="56"/>
      <c r="R421" s="202" t="str">
        <f>IF(P421,(P421-Q421)/P421,"NB")</f>
        <v>NB</v>
      </c>
    </row>
    <row r="422" spans="1:18" ht="15.75">
      <c r="A422" s="297" t="s">
        <v>922</v>
      </c>
      <c r="B422" s="229" t="s">
        <v>923</v>
      </c>
      <c r="C422" s="56"/>
      <c r="D422" s="56"/>
      <c r="E422" s="56"/>
      <c r="F422" s="196"/>
      <c r="G422" s="196"/>
      <c r="H422" s="352"/>
      <c r="I422" s="191"/>
      <c r="J422" s="196" t="str">
        <f t="shared" si="21"/>
        <v>NB</v>
      </c>
      <c r="K422" s="56"/>
      <c r="L422" s="56"/>
      <c r="M422" s="56"/>
      <c r="N422" s="194"/>
      <c r="O422" s="194"/>
      <c r="P422" s="162">
        <f t="shared" si="15"/>
        <v>0</v>
      </c>
      <c r="Q422" s="56"/>
      <c r="R422" s="202" t="str">
        <f>IF(P422,(P422-Q422)/P422,"NB")</f>
        <v>NB</v>
      </c>
    </row>
    <row r="423" spans="1:18" ht="15.75">
      <c r="A423" s="297" t="s">
        <v>924</v>
      </c>
      <c r="B423" s="229" t="s">
        <v>925</v>
      </c>
      <c r="C423" s="56"/>
      <c r="D423" s="56"/>
      <c r="E423" s="56"/>
      <c r="F423" s="196"/>
      <c r="G423" s="196"/>
      <c r="H423" s="352">
        <v>2</v>
      </c>
      <c r="I423" s="191"/>
      <c r="J423" s="196">
        <f t="shared" si="21"/>
        <v>1</v>
      </c>
      <c r="K423" s="56"/>
      <c r="L423" s="56"/>
      <c r="M423" s="56"/>
      <c r="N423" s="194"/>
      <c r="O423" s="194"/>
      <c r="P423" s="162">
        <f t="shared" si="15"/>
        <v>2</v>
      </c>
      <c r="Q423" s="56"/>
      <c r="R423" s="202">
        <f>IF(P423,(P423-Q423)/P423,"NB")</f>
        <v>1</v>
      </c>
    </row>
    <row r="424" spans="1:18" ht="15.75">
      <c r="A424" s="297" t="s">
        <v>926</v>
      </c>
      <c r="B424" s="229" t="s">
        <v>927</v>
      </c>
      <c r="C424" s="56"/>
      <c r="D424" s="56"/>
      <c r="E424" s="56"/>
      <c r="F424" s="196"/>
      <c r="G424" s="196"/>
      <c r="H424" s="352">
        <v>6</v>
      </c>
      <c r="I424" s="191"/>
      <c r="J424" s="196">
        <f t="shared" si="21"/>
        <v>1</v>
      </c>
      <c r="K424" s="56"/>
      <c r="L424" s="56"/>
      <c r="M424" s="56"/>
      <c r="N424" s="194"/>
      <c r="O424" s="194"/>
      <c r="P424" s="162">
        <f t="shared" si="15"/>
        <v>6</v>
      </c>
      <c r="Q424" s="56"/>
      <c r="R424" s="202">
        <f>IF(P424,(P424-Q424)/P424,"NB")</f>
        <v>1</v>
      </c>
    </row>
    <row r="425" spans="1:18" ht="15.75">
      <c r="A425" s="297" t="s">
        <v>928</v>
      </c>
      <c r="B425" s="229" t="s">
        <v>929</v>
      </c>
      <c r="C425" s="56"/>
      <c r="D425" s="56"/>
      <c r="E425" s="56"/>
      <c r="F425" s="196"/>
      <c r="G425" s="196"/>
      <c r="H425" s="352"/>
      <c r="I425" s="191"/>
      <c r="J425" s="196" t="str">
        <f t="shared" si="21"/>
        <v>NB</v>
      </c>
      <c r="K425" s="56"/>
      <c r="L425" s="56"/>
      <c r="M425" s="56"/>
      <c r="N425" s="194"/>
      <c r="O425" s="194"/>
      <c r="P425" s="162">
        <f t="shared" si="15"/>
        <v>0</v>
      </c>
      <c r="Q425" s="56"/>
      <c r="R425" s="202" t="str">
        <f>IF(P425,(P425-Q425)/P425,"NB")</f>
        <v>NB</v>
      </c>
    </row>
    <row r="426" spans="1:18" ht="15.75">
      <c r="A426" s="297" t="s">
        <v>930</v>
      </c>
      <c r="B426" s="229" t="s">
        <v>931</v>
      </c>
      <c r="C426" s="56"/>
      <c r="D426" s="56"/>
      <c r="E426" s="56"/>
      <c r="F426" s="196"/>
      <c r="G426" s="196"/>
      <c r="H426" s="352"/>
      <c r="I426" s="191"/>
      <c r="J426" s="196" t="str">
        <f t="shared" si="21"/>
        <v>NB</v>
      </c>
      <c r="K426" s="56"/>
      <c r="L426" s="56"/>
      <c r="M426" s="56"/>
      <c r="N426" s="194"/>
      <c r="O426" s="194"/>
      <c r="P426" s="162">
        <f t="shared" si="15"/>
        <v>0</v>
      </c>
      <c r="Q426" s="56"/>
      <c r="R426" s="202" t="str">
        <f>IF(P426,(P426-Q426)/P426,"NB")</f>
        <v>NB</v>
      </c>
    </row>
    <row r="427" spans="1:18" ht="15.75" customHeight="1">
      <c r="A427" s="297" t="s">
        <v>932</v>
      </c>
      <c r="B427" s="229" t="s">
        <v>933</v>
      </c>
      <c r="C427" s="56"/>
      <c r="D427" s="56"/>
      <c r="E427" s="56"/>
      <c r="F427" s="196"/>
      <c r="G427" s="196"/>
      <c r="H427" s="352">
        <v>0.6</v>
      </c>
      <c r="I427" s="191"/>
      <c r="J427" s="196">
        <f t="shared" si="21"/>
        <v>1</v>
      </c>
      <c r="K427" s="56"/>
      <c r="L427" s="56"/>
      <c r="M427" s="56"/>
      <c r="N427" s="194"/>
      <c r="O427" s="194"/>
      <c r="P427" s="162">
        <f t="shared" si="15"/>
        <v>0.6</v>
      </c>
      <c r="Q427" s="56"/>
      <c r="R427" s="202">
        <f>IF(P427,(P427-Q427)/P427,"NB")</f>
        <v>1</v>
      </c>
    </row>
    <row r="428" spans="1:18" ht="30" customHeight="1">
      <c r="A428" s="299" t="s">
        <v>934</v>
      </c>
      <c r="B428" s="235" t="s">
        <v>935</v>
      </c>
      <c r="C428" s="56"/>
      <c r="D428" s="56"/>
      <c r="E428" s="56"/>
      <c r="F428" s="196"/>
      <c r="G428" s="196"/>
      <c r="H428" s="352"/>
      <c r="I428" s="191"/>
      <c r="J428" s="196" t="str">
        <f t="shared" si="21"/>
        <v>NB</v>
      </c>
      <c r="K428" s="56"/>
      <c r="L428" s="56"/>
      <c r="M428" s="56"/>
      <c r="N428" s="194"/>
      <c r="O428" s="194"/>
      <c r="P428" s="162">
        <f t="shared" si="15"/>
        <v>0</v>
      </c>
      <c r="Q428" s="56"/>
      <c r="R428" s="202" t="str">
        <f>IF(P428,(P428-Q428)/P428,"NB")</f>
        <v>NB</v>
      </c>
    </row>
    <row r="429" spans="1:18" ht="18.75" customHeight="1">
      <c r="A429" s="297" t="s">
        <v>936</v>
      </c>
      <c r="B429" s="229" t="s">
        <v>937</v>
      </c>
      <c r="C429" s="56"/>
      <c r="D429" s="56"/>
      <c r="E429" s="56"/>
      <c r="F429" s="196"/>
      <c r="G429" s="196"/>
      <c r="H429" s="352"/>
      <c r="I429" s="191"/>
      <c r="J429" s="196" t="str">
        <f t="shared" si="21"/>
        <v>NB</v>
      </c>
      <c r="K429" s="56"/>
      <c r="L429" s="56"/>
      <c r="M429" s="56"/>
      <c r="N429" s="194"/>
      <c r="O429" s="194"/>
      <c r="P429" s="162">
        <f t="shared" si="15"/>
        <v>0</v>
      </c>
      <c r="Q429" s="56"/>
      <c r="R429" s="202" t="str">
        <f>IF(P429,(P429-Q429)/P429,"NB")</f>
        <v>NB</v>
      </c>
    </row>
    <row r="430" spans="1:18" ht="15.75" customHeight="1">
      <c r="A430" s="297" t="s">
        <v>969</v>
      </c>
      <c r="B430" s="386" t="s">
        <v>967</v>
      </c>
      <c r="C430" s="56"/>
      <c r="D430" s="56"/>
      <c r="E430" s="56"/>
      <c r="F430" s="196"/>
      <c r="G430" s="196"/>
      <c r="H430" s="352">
        <v>0.3</v>
      </c>
      <c r="I430" s="191"/>
      <c r="J430" s="196">
        <f t="shared" si="21"/>
        <v>1</v>
      </c>
      <c r="K430" s="56"/>
      <c r="L430" s="56"/>
      <c r="M430" s="56"/>
      <c r="N430" s="194"/>
      <c r="O430" s="194"/>
      <c r="P430" s="162">
        <f t="shared" si="15"/>
        <v>0.3</v>
      </c>
      <c r="Q430" s="56"/>
      <c r="R430" s="202">
        <f>IF(P430,(P430-Q430)/P430,"NB")</f>
        <v>1</v>
      </c>
    </row>
    <row r="431" spans="1:18" ht="15.75" customHeight="1">
      <c r="A431" s="297" t="s">
        <v>970</v>
      </c>
      <c r="B431" s="386" t="s">
        <v>938</v>
      </c>
      <c r="C431" s="56"/>
      <c r="D431" s="56"/>
      <c r="E431" s="56"/>
      <c r="F431" s="196"/>
      <c r="G431" s="196"/>
      <c r="H431" s="352">
        <v>0.9</v>
      </c>
      <c r="I431" s="191"/>
      <c r="J431" s="196">
        <f t="shared" si="21"/>
        <v>1</v>
      </c>
      <c r="K431" s="56"/>
      <c r="L431" s="56"/>
      <c r="M431" s="56"/>
      <c r="N431" s="194"/>
      <c r="O431" s="194"/>
      <c r="P431" s="162">
        <f t="shared" si="15"/>
        <v>0.9</v>
      </c>
      <c r="Q431" s="56"/>
      <c r="R431" s="202">
        <f>IF(P431,(P431-Q431)/P431,"NB")</f>
        <v>1</v>
      </c>
    </row>
    <row r="432" spans="1:18" ht="15.75">
      <c r="A432" s="297" t="s">
        <v>971</v>
      </c>
      <c r="B432" s="229" t="s">
        <v>939</v>
      </c>
      <c r="C432" s="56"/>
      <c r="D432" s="56"/>
      <c r="E432" s="56"/>
      <c r="F432" s="196"/>
      <c r="G432" s="196"/>
      <c r="H432" s="352">
        <v>0.6</v>
      </c>
      <c r="I432" s="191"/>
      <c r="J432" s="196">
        <f t="shared" si="21"/>
        <v>1</v>
      </c>
      <c r="K432" s="56"/>
      <c r="L432" s="56"/>
      <c r="M432" s="56"/>
      <c r="N432" s="194"/>
      <c r="O432" s="194"/>
      <c r="P432" s="162">
        <f t="shared" si="15"/>
        <v>0.6</v>
      </c>
      <c r="Q432" s="56"/>
      <c r="R432" s="202">
        <f>IF(P432,(P432-Q432)/P432,"NB")</f>
        <v>1</v>
      </c>
    </row>
    <row r="433" spans="1:18" ht="15.75">
      <c r="A433" s="297" t="s">
        <v>940</v>
      </c>
      <c r="B433" s="229" t="s">
        <v>941</v>
      </c>
      <c r="C433" s="56"/>
      <c r="D433" s="56"/>
      <c r="E433" s="56"/>
      <c r="F433" s="196"/>
      <c r="G433" s="196"/>
      <c r="H433" s="352"/>
      <c r="I433" s="191"/>
      <c r="J433" s="196" t="str">
        <f t="shared" si="21"/>
        <v>NB</v>
      </c>
      <c r="K433" s="56"/>
      <c r="L433" s="56"/>
      <c r="M433" s="56"/>
      <c r="N433" s="194"/>
      <c r="O433" s="194"/>
      <c r="P433" s="162">
        <f t="shared" si="15"/>
        <v>0</v>
      </c>
      <c r="Q433" s="56"/>
      <c r="R433" s="202" t="str">
        <f>IF(P433,(P433-Q433)/P433,"NB")</f>
        <v>NB</v>
      </c>
    </row>
    <row r="434" spans="1:18" ht="15.75">
      <c r="A434" s="297" t="s">
        <v>972</v>
      </c>
      <c r="B434" s="229" t="s">
        <v>942</v>
      </c>
      <c r="C434" s="56"/>
      <c r="D434" s="56"/>
      <c r="E434" s="56"/>
      <c r="F434" s="196"/>
      <c r="G434" s="196"/>
      <c r="H434" s="352">
        <v>0.38</v>
      </c>
      <c r="I434" s="191"/>
      <c r="J434" s="196">
        <f t="shared" si="21"/>
        <v>1</v>
      </c>
      <c r="K434" s="56"/>
      <c r="L434" s="56"/>
      <c r="M434" s="56"/>
      <c r="N434" s="194"/>
      <c r="O434" s="194"/>
      <c r="P434" s="162">
        <f t="shared" si="15"/>
        <v>0.38</v>
      </c>
      <c r="Q434" s="56"/>
      <c r="R434" s="202">
        <f>IF(P434,(P434-Q434)/P434,"NB")</f>
        <v>1</v>
      </c>
    </row>
    <row r="435" spans="1:18" ht="15.75">
      <c r="A435" s="297" t="s">
        <v>973</v>
      </c>
      <c r="B435" s="229" t="s">
        <v>943</v>
      </c>
      <c r="C435" s="56"/>
      <c r="D435" s="56"/>
      <c r="E435" s="56"/>
      <c r="F435" s="196"/>
      <c r="G435" s="196"/>
      <c r="H435" s="352">
        <v>0.81</v>
      </c>
      <c r="I435" s="191"/>
      <c r="J435" s="196">
        <f t="shared" si="21"/>
        <v>1</v>
      </c>
      <c r="K435" s="56"/>
      <c r="L435" s="56"/>
      <c r="M435" s="56"/>
      <c r="N435" s="194"/>
      <c r="O435" s="194"/>
      <c r="P435" s="162">
        <f t="shared" si="15"/>
        <v>0.81</v>
      </c>
      <c r="Q435" s="56"/>
      <c r="R435" s="202">
        <f>IF(P435,(P435-Q435)/P435,"NB")</f>
        <v>1</v>
      </c>
    </row>
    <row r="436" spans="1:18" ht="15.75">
      <c r="A436" s="297" t="s">
        <v>974</v>
      </c>
      <c r="B436" s="229" t="s">
        <v>944</v>
      </c>
      <c r="C436" s="56"/>
      <c r="D436" s="56"/>
      <c r="E436" s="56"/>
      <c r="F436" s="196"/>
      <c r="G436" s="196"/>
      <c r="H436" s="352">
        <v>0.3</v>
      </c>
      <c r="I436" s="191"/>
      <c r="J436" s="196">
        <f t="shared" si="21"/>
        <v>1</v>
      </c>
      <c r="K436" s="56"/>
      <c r="L436" s="56"/>
      <c r="M436" s="56"/>
      <c r="N436" s="194"/>
      <c r="O436" s="194"/>
      <c r="P436" s="162">
        <f t="shared" si="15"/>
        <v>0.3</v>
      </c>
      <c r="Q436" s="56"/>
      <c r="R436" s="202">
        <f>IF(P436,(P436-Q436)/P436,"NB")</f>
        <v>1</v>
      </c>
    </row>
    <row r="437" spans="1:18" ht="15.75">
      <c r="A437" s="297" t="s">
        <v>945</v>
      </c>
      <c r="B437" s="229" t="s">
        <v>946</v>
      </c>
      <c r="C437" s="56"/>
      <c r="D437" s="56"/>
      <c r="E437" s="56"/>
      <c r="F437" s="196"/>
      <c r="G437" s="196"/>
      <c r="H437" s="352"/>
      <c r="I437" s="191"/>
      <c r="J437" s="196" t="str">
        <f t="shared" si="21"/>
        <v>NB</v>
      </c>
      <c r="K437" s="56"/>
      <c r="L437" s="56"/>
      <c r="M437" s="56"/>
      <c r="N437" s="194"/>
      <c r="O437" s="194"/>
      <c r="P437" s="162">
        <f t="shared" si="15"/>
        <v>0</v>
      </c>
      <c r="Q437" s="56"/>
      <c r="R437" s="202" t="str">
        <f>IF(P437,(P437-Q437)/P437,"NB")</f>
        <v>NB</v>
      </c>
    </row>
    <row r="438" spans="1:18" ht="15.75">
      <c r="A438" s="297" t="s">
        <v>975</v>
      </c>
      <c r="B438" s="229" t="s">
        <v>947</v>
      </c>
      <c r="C438" s="56"/>
      <c r="D438" s="56"/>
      <c r="E438" s="56"/>
      <c r="F438" s="196"/>
      <c r="G438" s="196"/>
      <c r="H438" s="352">
        <v>0.28</v>
      </c>
      <c r="I438" s="191"/>
      <c r="J438" s="196">
        <f t="shared" si="21"/>
        <v>1</v>
      </c>
      <c r="K438" s="56"/>
      <c r="L438" s="56"/>
      <c r="M438" s="56"/>
      <c r="N438" s="194"/>
      <c r="O438" s="194"/>
      <c r="P438" s="162">
        <f t="shared" si="15"/>
        <v>0.28</v>
      </c>
      <c r="Q438" s="56"/>
      <c r="R438" s="202">
        <f>IF(P438,(P438-Q438)/P438,"NB")</f>
        <v>1</v>
      </c>
    </row>
    <row r="439" spans="1:18" ht="15.75">
      <c r="A439" s="297" t="s">
        <v>976</v>
      </c>
      <c r="B439" s="229" t="s">
        <v>948</v>
      </c>
      <c r="C439" s="56"/>
      <c r="D439" s="56"/>
      <c r="E439" s="56"/>
      <c r="F439" s="196"/>
      <c r="G439" s="196"/>
      <c r="H439" s="352">
        <v>1.26</v>
      </c>
      <c r="I439" s="191"/>
      <c r="J439" s="196">
        <f t="shared" si="21"/>
        <v>1</v>
      </c>
      <c r="K439" s="56"/>
      <c r="L439" s="56"/>
      <c r="M439" s="56"/>
      <c r="N439" s="194"/>
      <c r="O439" s="194"/>
      <c r="P439" s="162">
        <f t="shared" si="15"/>
        <v>1.26</v>
      </c>
      <c r="Q439" s="56"/>
      <c r="R439" s="202">
        <f>IF(P439,(P439-Q439)/P439,"NB")</f>
        <v>1</v>
      </c>
    </row>
    <row r="440" spans="1:18" ht="15.75">
      <c r="A440" s="297" t="s">
        <v>949</v>
      </c>
      <c r="B440" s="229" t="s">
        <v>950</v>
      </c>
      <c r="C440" s="56"/>
      <c r="D440" s="56"/>
      <c r="E440" s="56"/>
      <c r="F440" s="196"/>
      <c r="G440" s="196"/>
      <c r="H440" s="352"/>
      <c r="I440" s="191"/>
      <c r="J440" s="196" t="str">
        <f t="shared" si="21"/>
        <v>NB</v>
      </c>
      <c r="K440" s="56"/>
      <c r="L440" s="56"/>
      <c r="M440" s="56"/>
      <c r="N440" s="194"/>
      <c r="O440" s="194"/>
      <c r="P440" s="162">
        <f t="shared" si="15"/>
        <v>0</v>
      </c>
      <c r="Q440" s="56"/>
      <c r="R440" s="202" t="str">
        <f>IF(P440,(P440-Q440)/P440,"NB")</f>
        <v>NB</v>
      </c>
    </row>
    <row r="441" spans="1:18" ht="15.75">
      <c r="A441" s="297" t="s">
        <v>977</v>
      </c>
      <c r="B441" s="229" t="s">
        <v>947</v>
      </c>
      <c r="C441" s="56"/>
      <c r="D441" s="56"/>
      <c r="E441" s="56"/>
      <c r="F441" s="196"/>
      <c r="G441" s="196"/>
      <c r="H441" s="352">
        <v>1.7</v>
      </c>
      <c r="I441" s="191"/>
      <c r="J441" s="196">
        <f t="shared" si="21"/>
        <v>1</v>
      </c>
      <c r="K441" s="56"/>
      <c r="L441" s="56"/>
      <c r="M441" s="56"/>
      <c r="N441" s="194"/>
      <c r="O441" s="194"/>
      <c r="P441" s="162">
        <f t="shared" si="15"/>
        <v>1.7</v>
      </c>
      <c r="Q441" s="56"/>
      <c r="R441" s="202">
        <f>IF(P441,(P441-Q441)/P441,"NB")</f>
        <v>1</v>
      </c>
    </row>
    <row r="442" spans="1:18" ht="15.75">
      <c r="A442" s="297" t="s">
        <v>978</v>
      </c>
      <c r="B442" s="229" t="s">
        <v>948</v>
      </c>
      <c r="C442" s="39"/>
      <c r="D442" s="39"/>
      <c r="E442" s="39"/>
      <c r="F442" s="196"/>
      <c r="G442" s="196"/>
      <c r="H442" s="352">
        <v>6.75</v>
      </c>
      <c r="I442" s="191"/>
      <c r="J442" s="196">
        <f t="shared" si="21"/>
        <v>1</v>
      </c>
      <c r="K442" s="39"/>
      <c r="L442" s="39"/>
      <c r="M442" s="39"/>
      <c r="N442" s="194"/>
      <c r="O442" s="194"/>
      <c r="P442" s="162">
        <f t="shared" si="15"/>
        <v>6.75</v>
      </c>
      <c r="Q442" s="39"/>
      <c r="R442" s="202">
        <f>IF(P442,(P442-Q442)/P442,"NB")</f>
        <v>1</v>
      </c>
    </row>
    <row r="443" spans="1:18" ht="15.75">
      <c r="A443" s="296" t="s">
        <v>951</v>
      </c>
      <c r="B443" s="235" t="s">
        <v>952</v>
      </c>
      <c r="C443" s="39"/>
      <c r="D443" s="39"/>
      <c r="E443" s="39"/>
      <c r="F443" s="196"/>
      <c r="G443" s="196"/>
      <c r="H443" s="352"/>
      <c r="I443" s="191"/>
      <c r="J443" s="196" t="str">
        <f t="shared" si="21"/>
        <v>NB</v>
      </c>
      <c r="K443" s="39"/>
      <c r="L443" s="39"/>
      <c r="M443" s="39"/>
      <c r="N443" s="194"/>
      <c r="O443" s="194"/>
      <c r="P443" s="162">
        <f t="shared" si="15"/>
        <v>0</v>
      </c>
      <c r="Q443" s="39"/>
      <c r="R443" s="202" t="str">
        <f>IF(P443,(P443-Q443)/P443,"NB")</f>
        <v>NB</v>
      </c>
    </row>
    <row r="444" spans="1:18" ht="15.75">
      <c r="A444" s="297" t="s">
        <v>953</v>
      </c>
      <c r="B444" s="229" t="s">
        <v>954</v>
      </c>
      <c r="C444" s="39"/>
      <c r="D444" s="39"/>
      <c r="E444" s="39"/>
      <c r="F444" s="196"/>
      <c r="G444" s="196"/>
      <c r="H444" s="352"/>
      <c r="I444" s="191"/>
      <c r="J444" s="196" t="str">
        <f t="shared" si="21"/>
        <v>NB</v>
      </c>
      <c r="K444" s="39"/>
      <c r="L444" s="39"/>
      <c r="M444" s="39"/>
      <c r="N444" s="194"/>
      <c r="O444" s="194"/>
      <c r="P444" s="162">
        <f aca="true" t="shared" si="22" ref="P444:P454">H444</f>
        <v>0</v>
      </c>
      <c r="Q444" s="39"/>
      <c r="R444" s="202" t="str">
        <f>IF(P444,(P444-Q444)/P444,"NB")</f>
        <v>NB</v>
      </c>
    </row>
    <row r="445" spans="1:18" ht="15.75">
      <c r="A445" s="297" t="s">
        <v>979</v>
      </c>
      <c r="B445" s="229" t="s">
        <v>955</v>
      </c>
      <c r="C445" s="39"/>
      <c r="D445" s="39"/>
      <c r="E445" s="39"/>
      <c r="F445" s="196"/>
      <c r="G445" s="196"/>
      <c r="H445" s="352">
        <v>2.4</v>
      </c>
      <c r="I445" s="191"/>
      <c r="J445" s="196">
        <f t="shared" si="21"/>
        <v>1</v>
      </c>
      <c r="K445" s="39"/>
      <c r="L445" s="39"/>
      <c r="M445" s="39"/>
      <c r="N445" s="194"/>
      <c r="O445" s="194"/>
      <c r="P445" s="162">
        <f t="shared" si="22"/>
        <v>2.4</v>
      </c>
      <c r="Q445" s="39"/>
      <c r="R445" s="202">
        <f>IF(P445,(P445-Q445)/P445,"NB")</f>
        <v>1</v>
      </c>
    </row>
    <row r="446" spans="1:18" ht="15.75">
      <c r="A446" s="297" t="s">
        <v>980</v>
      </c>
      <c r="B446" s="229" t="s">
        <v>956</v>
      </c>
      <c r="C446" s="39"/>
      <c r="D446" s="39"/>
      <c r="E446" s="39"/>
      <c r="F446" s="196"/>
      <c r="G446" s="196"/>
      <c r="H446" s="352">
        <v>1.44</v>
      </c>
      <c r="I446" s="191"/>
      <c r="J446" s="196">
        <f t="shared" si="21"/>
        <v>1</v>
      </c>
      <c r="K446" s="39"/>
      <c r="L446" s="39"/>
      <c r="M446" s="39"/>
      <c r="N446" s="194"/>
      <c r="O446" s="194"/>
      <c r="P446" s="162">
        <f t="shared" si="22"/>
        <v>1.44</v>
      </c>
      <c r="Q446" s="39"/>
      <c r="R446" s="202">
        <f>IF(P446,(P446-Q446)/P446,"NB")</f>
        <v>1</v>
      </c>
    </row>
    <row r="447" spans="1:18" ht="15.75">
      <c r="A447" s="297" t="s">
        <v>981</v>
      </c>
      <c r="B447" s="229" t="s">
        <v>957</v>
      </c>
      <c r="C447" s="39"/>
      <c r="D447" s="39"/>
      <c r="E447" s="39"/>
      <c r="F447" s="196"/>
      <c r="G447" s="196"/>
      <c r="H447" s="352">
        <v>1.2</v>
      </c>
      <c r="I447" s="191"/>
      <c r="J447" s="196">
        <f t="shared" si="21"/>
        <v>1</v>
      </c>
      <c r="K447" s="39"/>
      <c r="L447" s="39"/>
      <c r="M447" s="39"/>
      <c r="N447" s="194"/>
      <c r="O447" s="194"/>
      <c r="P447" s="162">
        <f t="shared" si="22"/>
        <v>1.2</v>
      </c>
      <c r="Q447" s="39"/>
      <c r="R447" s="202">
        <f>IF(P447,(P447-Q447)/P447,"NB")</f>
        <v>1</v>
      </c>
    </row>
    <row r="448" spans="1:18" ht="15.75">
      <c r="A448" s="297" t="s">
        <v>982</v>
      </c>
      <c r="B448" s="229" t="s">
        <v>958</v>
      </c>
      <c r="C448" s="39"/>
      <c r="D448" s="39"/>
      <c r="E448" s="39"/>
      <c r="F448" s="196"/>
      <c r="G448" s="196"/>
      <c r="H448" s="352">
        <v>0.96</v>
      </c>
      <c r="I448" s="191"/>
      <c r="J448" s="196">
        <f t="shared" si="21"/>
        <v>1</v>
      </c>
      <c r="K448" s="39"/>
      <c r="L448" s="39"/>
      <c r="M448" s="39"/>
      <c r="N448" s="194"/>
      <c r="O448" s="194"/>
      <c r="P448" s="162">
        <f t="shared" si="22"/>
        <v>0.96</v>
      </c>
      <c r="Q448" s="39"/>
      <c r="R448" s="202">
        <f>IF(P448,(P448-Q448)/P448,"NB")</f>
        <v>1</v>
      </c>
    </row>
    <row r="449" spans="1:18" ht="15.75">
      <c r="A449" s="297" t="s">
        <v>983</v>
      </c>
      <c r="B449" s="229" t="s">
        <v>959</v>
      </c>
      <c r="C449" s="39"/>
      <c r="D449" s="39"/>
      <c r="E449" s="39"/>
      <c r="F449" s="196"/>
      <c r="G449" s="196"/>
      <c r="H449" s="352">
        <v>5.88</v>
      </c>
      <c r="I449" s="191"/>
      <c r="J449" s="196">
        <f t="shared" si="21"/>
        <v>1</v>
      </c>
      <c r="K449" s="39"/>
      <c r="L449" s="39"/>
      <c r="M449" s="39"/>
      <c r="N449" s="194"/>
      <c r="O449" s="194"/>
      <c r="P449" s="162">
        <f t="shared" si="22"/>
        <v>5.88</v>
      </c>
      <c r="Q449" s="39"/>
      <c r="R449" s="202">
        <f>IF(P449,(P449-Q449)/P449,"NB")</f>
        <v>1</v>
      </c>
    </row>
    <row r="450" spans="1:18" ht="15.75">
      <c r="A450" s="297" t="s">
        <v>960</v>
      </c>
      <c r="B450" s="229" t="s">
        <v>961</v>
      </c>
      <c r="C450" s="39"/>
      <c r="D450" s="39"/>
      <c r="E450" s="39"/>
      <c r="F450" s="196"/>
      <c r="G450" s="196"/>
      <c r="H450" s="352"/>
      <c r="I450" s="191"/>
      <c r="J450" s="196" t="str">
        <f t="shared" si="21"/>
        <v>NB</v>
      </c>
      <c r="K450" s="39"/>
      <c r="L450" s="39"/>
      <c r="M450" s="39"/>
      <c r="N450" s="194"/>
      <c r="O450" s="194"/>
      <c r="P450" s="162">
        <f t="shared" si="22"/>
        <v>0</v>
      </c>
      <c r="Q450" s="39"/>
      <c r="R450" s="202" t="str">
        <f>IF(P450,(P450-Q450)/P450,"NB")</f>
        <v>NB</v>
      </c>
    </row>
    <row r="451" spans="1:18" ht="15.75">
      <c r="A451" s="297" t="s">
        <v>984</v>
      </c>
      <c r="B451" s="229" t="s">
        <v>959</v>
      </c>
      <c r="C451" s="39"/>
      <c r="D451" s="39"/>
      <c r="E451" s="39"/>
      <c r="F451" s="196"/>
      <c r="G451" s="196"/>
      <c r="H451" s="352"/>
      <c r="I451" s="191"/>
      <c r="J451" s="196" t="str">
        <f t="shared" si="21"/>
        <v>NB</v>
      </c>
      <c r="K451" s="39"/>
      <c r="L451" s="39"/>
      <c r="M451" s="39"/>
      <c r="N451" s="194"/>
      <c r="O451" s="194"/>
      <c r="P451" s="162">
        <f t="shared" si="22"/>
        <v>0</v>
      </c>
      <c r="Q451" s="39"/>
      <c r="R451" s="202" t="str">
        <f>IF(P451,(P451-Q451)/P451,"NB")</f>
        <v>NB</v>
      </c>
    </row>
    <row r="452" spans="1:18" ht="15.75">
      <c r="A452" s="297" t="s">
        <v>985</v>
      </c>
      <c r="B452" s="229" t="s">
        <v>962</v>
      </c>
      <c r="C452" s="39"/>
      <c r="D452" s="39"/>
      <c r="E452" s="39"/>
      <c r="F452" s="196"/>
      <c r="G452" s="196"/>
      <c r="H452" s="352"/>
      <c r="I452" s="191"/>
      <c r="J452" s="196" t="str">
        <f t="shared" si="21"/>
        <v>NB</v>
      </c>
      <c r="K452" s="39"/>
      <c r="L452" s="39"/>
      <c r="M452" s="39"/>
      <c r="N452" s="194"/>
      <c r="O452" s="194"/>
      <c r="P452" s="162">
        <f t="shared" si="22"/>
        <v>0</v>
      </c>
      <c r="Q452" s="39"/>
      <c r="R452" s="202" t="str">
        <f>IF(P452,(P452-Q452)/P452,"NB")</f>
        <v>NB</v>
      </c>
    </row>
    <row r="453" spans="1:18" ht="15.75">
      <c r="A453" s="296" t="s">
        <v>963</v>
      </c>
      <c r="B453" s="235" t="s">
        <v>964</v>
      </c>
      <c r="C453" s="39"/>
      <c r="D453" s="39"/>
      <c r="E453" s="39"/>
      <c r="F453" s="196"/>
      <c r="G453" s="196"/>
      <c r="H453" s="352"/>
      <c r="I453" s="191"/>
      <c r="J453" s="196" t="str">
        <f t="shared" si="21"/>
        <v>NB</v>
      </c>
      <c r="K453" s="39"/>
      <c r="L453" s="39"/>
      <c r="M453" s="39"/>
      <c r="N453" s="194"/>
      <c r="O453" s="194"/>
      <c r="P453" s="162">
        <f t="shared" si="22"/>
        <v>0</v>
      </c>
      <c r="Q453" s="39"/>
      <c r="R453" s="202" t="str">
        <f>IF(P453,(P453-Q453)/P453,"NB")</f>
        <v>NB</v>
      </c>
    </row>
    <row r="454" spans="1:18" ht="28.5">
      <c r="A454" s="297" t="s">
        <v>965</v>
      </c>
      <c r="B454" s="236" t="s">
        <v>966</v>
      </c>
      <c r="C454" s="39"/>
      <c r="D454" s="39"/>
      <c r="E454" s="39"/>
      <c r="F454" s="196"/>
      <c r="G454" s="196"/>
      <c r="H454" s="352"/>
      <c r="I454" s="191"/>
      <c r="J454" s="196" t="str">
        <f t="shared" si="21"/>
        <v>NB</v>
      </c>
      <c r="K454" s="39"/>
      <c r="L454" s="39"/>
      <c r="M454" s="39"/>
      <c r="N454" s="194"/>
      <c r="O454" s="194"/>
      <c r="P454" s="162">
        <f t="shared" si="22"/>
        <v>0</v>
      </c>
      <c r="Q454" s="39"/>
      <c r="R454" s="202" t="str">
        <f>IF(P454,(P454-Q454)/P454,"NB")</f>
        <v>NB</v>
      </c>
    </row>
    <row r="455" spans="1:18" s="167" customFormat="1" ht="15.75">
      <c r="A455" s="267" t="s">
        <v>273</v>
      </c>
      <c r="B455" s="2" t="s">
        <v>497</v>
      </c>
      <c r="C455" s="2"/>
      <c r="D455" s="2"/>
      <c r="E455" s="2"/>
      <c r="F455" s="2"/>
      <c r="G455" s="2"/>
      <c r="H455" s="341">
        <f>H456+H472+H481+H485</f>
        <v>357.95</v>
      </c>
      <c r="I455" s="139">
        <f>I456+I472+I481+I485</f>
        <v>0</v>
      </c>
      <c r="J455" s="2"/>
      <c r="K455" s="2"/>
      <c r="L455" s="2"/>
      <c r="M455" s="2"/>
      <c r="N455" s="2"/>
      <c r="O455" s="2"/>
      <c r="P455" s="139">
        <f>P456+P472+P481+P485</f>
        <v>357.95</v>
      </c>
      <c r="Q455" s="139">
        <f>Q456+Q472+Q481+Q485</f>
        <v>0</v>
      </c>
      <c r="R455" s="139">
        <f>IF(P455,(P455-Q455)/P455,"NB")</f>
        <v>1</v>
      </c>
    </row>
    <row r="456" spans="1:18" s="167" customFormat="1" ht="15.75">
      <c r="A456" s="81" t="s">
        <v>498</v>
      </c>
      <c r="B456" s="81" t="s">
        <v>499</v>
      </c>
      <c r="C456" s="130"/>
      <c r="D456" s="130"/>
      <c r="E456" s="130"/>
      <c r="F456" s="130"/>
      <c r="G456" s="130"/>
      <c r="H456" s="353">
        <f>SUM(H457:H471)</f>
        <v>132.95</v>
      </c>
      <c r="I456" s="142">
        <f>SUM(I457:I471)</f>
        <v>0</v>
      </c>
      <c r="J456" s="130"/>
      <c r="K456" s="130"/>
      <c r="L456" s="130"/>
      <c r="M456" s="130"/>
      <c r="N456" s="130"/>
      <c r="O456" s="130"/>
      <c r="P456" s="157">
        <f aca="true" t="shared" si="23" ref="P456:Q505">H456</f>
        <v>132.95</v>
      </c>
      <c r="Q456" s="142">
        <f>SUM(Q457:Q471)</f>
        <v>0</v>
      </c>
      <c r="R456" s="202">
        <f>IF(P456,(P456-Q456)/P456,"NB")</f>
        <v>1</v>
      </c>
    </row>
    <row r="457" spans="1:18" ht="35.25" customHeight="1">
      <c r="A457" s="59" t="s">
        <v>500</v>
      </c>
      <c r="B457" s="56" t="s">
        <v>565</v>
      </c>
      <c r="C457" s="39"/>
      <c r="D457" s="39"/>
      <c r="E457" s="39"/>
      <c r="F457" s="196"/>
      <c r="G457" s="196"/>
      <c r="H457" s="352">
        <v>39.75</v>
      </c>
      <c r="I457" s="191"/>
      <c r="J457" s="196">
        <f aca="true" t="shared" si="24" ref="J457:J471">IF(H457,(H457-I457)/H457,"NB")</f>
        <v>1</v>
      </c>
      <c r="K457" s="39"/>
      <c r="L457" s="39"/>
      <c r="M457" s="39"/>
      <c r="N457" s="194"/>
      <c r="O457" s="194"/>
      <c r="P457" s="162">
        <f t="shared" si="23"/>
        <v>39.75</v>
      </c>
      <c r="Q457" s="39"/>
      <c r="R457" s="202">
        <f>IF(P457,(P457-Q457)/P457,"NB")</f>
        <v>1</v>
      </c>
    </row>
    <row r="458" spans="1:18" ht="15.75">
      <c r="A458" s="59" t="s">
        <v>501</v>
      </c>
      <c r="B458" s="59" t="s">
        <v>566</v>
      </c>
      <c r="C458" s="39"/>
      <c r="D458" s="39"/>
      <c r="E458" s="39"/>
      <c r="F458" s="196"/>
      <c r="G458" s="196"/>
      <c r="H458" s="352">
        <v>2</v>
      </c>
      <c r="I458" s="191"/>
      <c r="J458" s="196">
        <f t="shared" si="24"/>
        <v>1</v>
      </c>
      <c r="K458" s="39"/>
      <c r="L458" s="39"/>
      <c r="M458" s="39"/>
      <c r="N458" s="194"/>
      <c r="O458" s="194"/>
      <c r="P458" s="162">
        <f t="shared" si="23"/>
        <v>2</v>
      </c>
      <c r="Q458" s="39"/>
      <c r="R458" s="202">
        <f>IF(P458,(P458-Q458)/P458,"NB")</f>
        <v>1</v>
      </c>
    </row>
    <row r="459" spans="1:18" ht="15.75">
      <c r="A459" s="59" t="s">
        <v>734</v>
      </c>
      <c r="B459" s="59" t="s">
        <v>567</v>
      </c>
      <c r="C459" s="39"/>
      <c r="D459" s="39"/>
      <c r="E459" s="39"/>
      <c r="F459" s="196"/>
      <c r="G459" s="196"/>
      <c r="H459" s="352">
        <v>8</v>
      </c>
      <c r="I459" s="191"/>
      <c r="J459" s="196">
        <f t="shared" si="24"/>
        <v>1</v>
      </c>
      <c r="K459" s="39"/>
      <c r="L459" s="39"/>
      <c r="M459" s="39"/>
      <c r="N459" s="194"/>
      <c r="O459" s="194"/>
      <c r="P459" s="162">
        <f t="shared" si="23"/>
        <v>8</v>
      </c>
      <c r="Q459" s="39"/>
      <c r="R459" s="202">
        <f>IF(P459,(P459-Q459)/P459,"NB")</f>
        <v>1</v>
      </c>
    </row>
    <row r="460" spans="1:18" ht="15.75">
      <c r="A460" s="59" t="s">
        <v>274</v>
      </c>
      <c r="B460" s="59" t="s">
        <v>732</v>
      </c>
      <c r="C460" s="39"/>
      <c r="D460" s="39"/>
      <c r="E460" s="39"/>
      <c r="F460" s="196"/>
      <c r="G460" s="196"/>
      <c r="H460" s="352"/>
      <c r="I460" s="191"/>
      <c r="J460" s="196" t="str">
        <f t="shared" si="24"/>
        <v>NB</v>
      </c>
      <c r="K460" s="39"/>
      <c r="L460" s="39"/>
      <c r="M460" s="39"/>
      <c r="N460" s="194"/>
      <c r="O460" s="194"/>
      <c r="P460" s="162">
        <f t="shared" si="23"/>
        <v>0</v>
      </c>
      <c r="Q460" s="39"/>
      <c r="R460" s="202" t="str">
        <f>IF(P460,(P460-Q460)/P460,"NB")</f>
        <v>NB</v>
      </c>
    </row>
    <row r="461" spans="1:18" ht="15.75">
      <c r="A461" s="59" t="s">
        <v>994</v>
      </c>
      <c r="B461" s="59" t="s">
        <v>568</v>
      </c>
      <c r="C461" s="39"/>
      <c r="D461" s="39"/>
      <c r="E461" s="39"/>
      <c r="F461" s="196"/>
      <c r="G461" s="196"/>
      <c r="H461" s="352"/>
      <c r="I461" s="191"/>
      <c r="J461" s="196" t="str">
        <f t="shared" si="24"/>
        <v>NB</v>
      </c>
      <c r="K461" s="39"/>
      <c r="L461" s="39"/>
      <c r="M461" s="39"/>
      <c r="N461" s="194"/>
      <c r="O461" s="194"/>
      <c r="P461" s="162">
        <f t="shared" si="23"/>
        <v>0</v>
      </c>
      <c r="Q461" s="39"/>
      <c r="R461" s="202" t="str">
        <f>IF(P461,(P461-Q461)/P461,"NB")</f>
        <v>NB</v>
      </c>
    </row>
    <row r="462" spans="1:18" ht="62.25" customHeight="1">
      <c r="A462" s="59" t="s">
        <v>502</v>
      </c>
      <c r="B462" s="128" t="s">
        <v>769</v>
      </c>
      <c r="C462" s="39"/>
      <c r="D462" s="39"/>
      <c r="E462" s="39"/>
      <c r="F462" s="196"/>
      <c r="G462" s="196"/>
      <c r="H462" s="352"/>
      <c r="I462" s="191"/>
      <c r="J462" s="196" t="str">
        <f t="shared" si="24"/>
        <v>NB</v>
      </c>
      <c r="K462" s="39"/>
      <c r="L462" s="39"/>
      <c r="M462" s="39"/>
      <c r="N462" s="194"/>
      <c r="O462" s="194"/>
      <c r="P462" s="162">
        <f t="shared" si="23"/>
        <v>0</v>
      </c>
      <c r="Q462" s="39"/>
      <c r="R462" s="202" t="str">
        <f>IF(P462,(P462-Q462)/P462,"NB")</f>
        <v>NB</v>
      </c>
    </row>
    <row r="463" spans="1:18" ht="15.75">
      <c r="A463" s="59" t="s">
        <v>275</v>
      </c>
      <c r="B463" s="129" t="s">
        <v>770</v>
      </c>
      <c r="C463" s="39"/>
      <c r="D463" s="39"/>
      <c r="E463" s="39"/>
      <c r="F463" s="196"/>
      <c r="G463" s="196"/>
      <c r="H463" s="352">
        <v>7</v>
      </c>
      <c r="I463" s="191"/>
      <c r="J463" s="196">
        <f t="shared" si="24"/>
        <v>1</v>
      </c>
      <c r="K463" s="39"/>
      <c r="L463" s="39"/>
      <c r="M463" s="39"/>
      <c r="N463" s="194"/>
      <c r="O463" s="194"/>
      <c r="P463" s="162">
        <f t="shared" si="23"/>
        <v>7</v>
      </c>
      <c r="Q463" s="39"/>
      <c r="R463" s="202">
        <f>IF(P463,(P463-Q463)/P463,"NB")</f>
        <v>1</v>
      </c>
    </row>
    <row r="464" spans="1:18" ht="15.75">
      <c r="A464" s="59" t="s">
        <v>276</v>
      </c>
      <c r="B464" s="129" t="s">
        <v>733</v>
      </c>
      <c r="C464" s="39"/>
      <c r="D464" s="39"/>
      <c r="E464" s="39"/>
      <c r="F464" s="196"/>
      <c r="G464" s="196"/>
      <c r="H464" s="352">
        <v>1.1</v>
      </c>
      <c r="I464" s="191"/>
      <c r="J464" s="196">
        <f t="shared" si="24"/>
        <v>1</v>
      </c>
      <c r="K464" s="39"/>
      <c r="L464" s="39"/>
      <c r="M464" s="39"/>
      <c r="N464" s="194"/>
      <c r="O464" s="194"/>
      <c r="P464" s="162">
        <f t="shared" si="23"/>
        <v>1.1</v>
      </c>
      <c r="Q464" s="39"/>
      <c r="R464" s="202">
        <f>IF(P464,(P464-Q464)/P464,"NB")</f>
        <v>1</v>
      </c>
    </row>
    <row r="465" spans="1:18" ht="15.75">
      <c r="A465" s="59" t="s">
        <v>738</v>
      </c>
      <c r="B465" s="129" t="s">
        <v>746</v>
      </c>
      <c r="C465" s="39"/>
      <c r="D465" s="39"/>
      <c r="E465" s="39"/>
      <c r="F465" s="196"/>
      <c r="G465" s="196"/>
      <c r="H465" s="352"/>
      <c r="I465" s="191"/>
      <c r="J465" s="196" t="str">
        <f t="shared" si="24"/>
        <v>NB</v>
      </c>
      <c r="K465" s="39"/>
      <c r="L465" s="39"/>
      <c r="M465" s="39"/>
      <c r="N465" s="194"/>
      <c r="O465" s="194"/>
      <c r="P465" s="162">
        <f t="shared" si="23"/>
        <v>0</v>
      </c>
      <c r="Q465" s="39"/>
      <c r="R465" s="202" t="str">
        <f>IF(P465,(P465-Q465)/P465,"NB")</f>
        <v>NB</v>
      </c>
    </row>
    <row r="466" spans="1:18" ht="15.75">
      <c r="A466" s="59" t="s">
        <v>739</v>
      </c>
      <c r="B466" s="129" t="s">
        <v>774</v>
      </c>
      <c r="C466" s="39"/>
      <c r="D466" s="39"/>
      <c r="E466" s="39"/>
      <c r="F466" s="196"/>
      <c r="G466" s="196"/>
      <c r="H466" s="352">
        <v>10</v>
      </c>
      <c r="I466" s="191"/>
      <c r="J466" s="196">
        <f t="shared" si="24"/>
        <v>1</v>
      </c>
      <c r="K466" s="39"/>
      <c r="L466" s="39"/>
      <c r="M466" s="39"/>
      <c r="N466" s="194"/>
      <c r="O466" s="194"/>
      <c r="P466" s="162">
        <f t="shared" si="23"/>
        <v>10</v>
      </c>
      <c r="Q466" s="39"/>
      <c r="R466" s="202">
        <f>IF(P466,(P466-Q466)/P466,"NB")</f>
        <v>1</v>
      </c>
    </row>
    <row r="467" spans="1:18" ht="60.75">
      <c r="A467" s="59" t="s">
        <v>740</v>
      </c>
      <c r="B467" s="87" t="s">
        <v>735</v>
      </c>
      <c r="C467" s="42"/>
      <c r="D467" s="75"/>
      <c r="E467" s="75"/>
      <c r="F467" s="196"/>
      <c r="G467" s="196"/>
      <c r="H467" s="352">
        <v>11</v>
      </c>
      <c r="I467" s="191"/>
      <c r="J467" s="196">
        <f t="shared" si="24"/>
        <v>1</v>
      </c>
      <c r="K467" s="75"/>
      <c r="L467" s="75"/>
      <c r="M467" s="75"/>
      <c r="N467" s="194"/>
      <c r="O467" s="194"/>
      <c r="P467" s="162">
        <f t="shared" si="23"/>
        <v>11</v>
      </c>
      <c r="Q467" s="75"/>
      <c r="R467" s="202">
        <f>IF(P467,(P467-Q467)/P467,"NB")</f>
        <v>1</v>
      </c>
    </row>
    <row r="468" spans="1:18" ht="15.75">
      <c r="A468" s="59" t="s">
        <v>741</v>
      </c>
      <c r="B468" s="85" t="s">
        <v>504</v>
      </c>
      <c r="C468" s="89"/>
      <c r="D468" s="89"/>
      <c r="E468" s="89"/>
      <c r="F468" s="196"/>
      <c r="G468" s="196"/>
      <c r="H468" s="352">
        <v>54.1</v>
      </c>
      <c r="I468" s="191"/>
      <c r="J468" s="196">
        <f t="shared" si="24"/>
        <v>1</v>
      </c>
      <c r="K468" s="89"/>
      <c r="L468" s="89"/>
      <c r="M468" s="89"/>
      <c r="N468" s="194"/>
      <c r="O468" s="194"/>
      <c r="P468" s="162">
        <f t="shared" si="23"/>
        <v>54.1</v>
      </c>
      <c r="Q468" s="89"/>
      <c r="R468" s="202">
        <f>IF(P468,(P468-Q468)/P468,"NB")</f>
        <v>1</v>
      </c>
    </row>
    <row r="469" spans="1:18" ht="15.75">
      <c r="A469" s="59" t="s">
        <v>503</v>
      </c>
      <c r="B469" s="85" t="s">
        <v>771</v>
      </c>
      <c r="C469" s="89"/>
      <c r="D469" s="89"/>
      <c r="E469" s="89"/>
      <c r="F469" s="196"/>
      <c r="G469" s="196"/>
      <c r="H469" s="352"/>
      <c r="I469" s="191"/>
      <c r="J469" s="196" t="str">
        <f t="shared" si="24"/>
        <v>NB</v>
      </c>
      <c r="K469" s="89"/>
      <c r="L469" s="89"/>
      <c r="M469" s="89"/>
      <c r="N469" s="194"/>
      <c r="O469" s="194"/>
      <c r="P469" s="162">
        <f t="shared" si="23"/>
        <v>0</v>
      </c>
      <c r="Q469" s="89"/>
      <c r="R469" s="202" t="str">
        <f>IF(P469,(P469-Q469)/P469,"NB")</f>
        <v>NB</v>
      </c>
    </row>
    <row r="470" spans="1:18" ht="30.75">
      <c r="A470" s="59" t="s">
        <v>747</v>
      </c>
      <c r="B470" s="85" t="s">
        <v>506</v>
      </c>
      <c r="C470" s="42"/>
      <c r="D470" s="75"/>
      <c r="E470" s="75"/>
      <c r="F470" s="196"/>
      <c r="G470" s="196"/>
      <c r="H470" s="352"/>
      <c r="I470" s="191"/>
      <c r="J470" s="196" t="str">
        <f t="shared" si="24"/>
        <v>NB</v>
      </c>
      <c r="K470" s="75"/>
      <c r="L470" s="75"/>
      <c r="M470" s="75"/>
      <c r="N470" s="194"/>
      <c r="O470" s="194"/>
      <c r="P470" s="162">
        <f t="shared" si="23"/>
        <v>0</v>
      </c>
      <c r="Q470" s="75"/>
      <c r="R470" s="202" t="str">
        <f>IF(P470,(P470-Q470)/P470,"NB")</f>
        <v>NB</v>
      </c>
    </row>
    <row r="471" spans="1:18" ht="30.75">
      <c r="A471" s="59" t="s">
        <v>505</v>
      </c>
      <c r="B471" s="85" t="s">
        <v>507</v>
      </c>
      <c r="C471" s="42"/>
      <c r="D471" s="76"/>
      <c r="E471" s="76"/>
      <c r="F471" s="196"/>
      <c r="G471" s="196"/>
      <c r="H471" s="352"/>
      <c r="I471" s="191"/>
      <c r="J471" s="196" t="str">
        <f t="shared" si="24"/>
        <v>NB</v>
      </c>
      <c r="K471" s="76"/>
      <c r="L471" s="76"/>
      <c r="M471" s="76"/>
      <c r="N471" s="194"/>
      <c r="O471" s="194"/>
      <c r="P471" s="162">
        <f t="shared" si="23"/>
        <v>0</v>
      </c>
      <c r="Q471" s="76"/>
      <c r="R471" s="202" t="str">
        <f>IF(P471,(P471-Q471)/P471,"NB")</f>
        <v>NB</v>
      </c>
    </row>
    <row r="472" spans="1:65" s="185" customFormat="1" ht="15.75">
      <c r="A472" s="192" t="s">
        <v>277</v>
      </c>
      <c r="B472" s="146" t="s">
        <v>508</v>
      </c>
      <c r="C472" s="38"/>
      <c r="D472" s="38"/>
      <c r="E472" s="38"/>
      <c r="F472" s="38"/>
      <c r="G472" s="38"/>
      <c r="H472" s="333">
        <f>SUM(H473:H480)+20</f>
        <v>207</v>
      </c>
      <c r="I472" s="145">
        <f>SUM(I473:I480)</f>
        <v>0</v>
      </c>
      <c r="J472" s="38"/>
      <c r="K472" s="38"/>
      <c r="L472" s="38"/>
      <c r="M472" s="38"/>
      <c r="N472" s="38"/>
      <c r="O472" s="38"/>
      <c r="P472" s="134">
        <f t="shared" si="23"/>
        <v>207</v>
      </c>
      <c r="Q472" s="145">
        <f>SUM(Q473:Q480)</f>
        <v>0</v>
      </c>
      <c r="R472" s="145">
        <f>IF(P472,(P472-Q472)/P472,"NB")</f>
        <v>1</v>
      </c>
      <c r="S472" s="167"/>
      <c r="T472" s="167"/>
      <c r="U472" s="167"/>
      <c r="V472" s="167"/>
      <c r="W472" s="167"/>
      <c r="X472" s="167"/>
      <c r="Y472" s="167"/>
      <c r="Z472" s="167"/>
      <c r="AA472" s="167"/>
      <c r="AB472" s="167"/>
      <c r="AC472" s="167"/>
      <c r="AD472" s="167"/>
      <c r="AE472" s="167"/>
      <c r="AF472" s="167"/>
      <c r="AG472" s="167"/>
      <c r="AH472" s="167"/>
      <c r="AI472" s="167"/>
      <c r="AJ472" s="167"/>
      <c r="AK472" s="167"/>
      <c r="AL472" s="167"/>
      <c r="AM472" s="167"/>
      <c r="AN472" s="167"/>
      <c r="AO472" s="167"/>
      <c r="AP472" s="167"/>
      <c r="AQ472" s="167"/>
      <c r="AR472" s="167"/>
      <c r="AS472" s="167"/>
      <c r="AT472" s="167"/>
      <c r="AU472" s="167"/>
      <c r="AV472" s="167"/>
      <c r="AW472" s="167"/>
      <c r="AX472" s="167"/>
      <c r="AY472" s="167"/>
      <c r="AZ472" s="167"/>
      <c r="BA472" s="167"/>
      <c r="BB472" s="167"/>
      <c r="BC472" s="167"/>
      <c r="BD472" s="167"/>
      <c r="BE472" s="167"/>
      <c r="BF472" s="167"/>
      <c r="BG472" s="167"/>
      <c r="BH472" s="167"/>
      <c r="BI472" s="167"/>
      <c r="BJ472" s="167"/>
      <c r="BK472" s="167"/>
      <c r="BL472" s="167"/>
      <c r="BM472" s="167"/>
    </row>
    <row r="473" spans="1:18" ht="15.75">
      <c r="A473" s="59" t="s">
        <v>509</v>
      </c>
      <c r="B473" s="85" t="s">
        <v>631</v>
      </c>
      <c r="C473" s="90"/>
      <c r="D473" s="90"/>
      <c r="E473" s="90"/>
      <c r="F473" s="196"/>
      <c r="G473" s="196"/>
      <c r="H473" s="352"/>
      <c r="I473" s="191"/>
      <c r="J473" s="196" t="str">
        <f aca="true" t="shared" si="25" ref="J473:J480">IF(H473,(H473-I473)/H473,"NB")</f>
        <v>NB</v>
      </c>
      <c r="K473" s="90"/>
      <c r="L473" s="90"/>
      <c r="M473" s="90"/>
      <c r="N473" s="194"/>
      <c r="O473" s="194"/>
      <c r="P473" s="162">
        <f t="shared" si="23"/>
        <v>0</v>
      </c>
      <c r="Q473" s="90"/>
      <c r="R473" s="202" t="str">
        <f>IF(P473,(P473-Q473)/P473,"NB")</f>
        <v>NB</v>
      </c>
    </row>
    <row r="474" spans="1:18" ht="15.75">
      <c r="A474" s="59" t="s">
        <v>510</v>
      </c>
      <c r="B474" s="85" t="s">
        <v>632</v>
      </c>
      <c r="C474" s="29"/>
      <c r="D474" s="29"/>
      <c r="E474" s="29"/>
      <c r="F474" s="196"/>
      <c r="G474" s="196"/>
      <c r="H474" s="352"/>
      <c r="I474" s="191"/>
      <c r="J474" s="196" t="str">
        <f t="shared" si="25"/>
        <v>NB</v>
      </c>
      <c r="K474" s="29"/>
      <c r="L474" s="29"/>
      <c r="M474" s="29"/>
      <c r="N474" s="194"/>
      <c r="O474" s="194"/>
      <c r="P474" s="162">
        <f t="shared" si="23"/>
        <v>0</v>
      </c>
      <c r="Q474" s="29"/>
      <c r="R474" s="202" t="str">
        <f>IF(P474,(P474-Q474)/P474,"NB")</f>
        <v>NB</v>
      </c>
    </row>
    <row r="475" spans="1:18" ht="15.75">
      <c r="A475" s="59" t="s">
        <v>278</v>
      </c>
      <c r="B475" s="85" t="s">
        <v>633</v>
      </c>
      <c r="C475" s="29"/>
      <c r="D475" s="29"/>
      <c r="E475" s="29"/>
      <c r="F475" s="196"/>
      <c r="G475" s="196"/>
      <c r="H475" s="352">
        <v>5</v>
      </c>
      <c r="I475" s="191"/>
      <c r="J475" s="196">
        <f t="shared" si="25"/>
        <v>1</v>
      </c>
      <c r="K475" s="29"/>
      <c r="L475" s="29"/>
      <c r="M475" s="29"/>
      <c r="N475" s="194"/>
      <c r="O475" s="194"/>
      <c r="P475" s="162">
        <f t="shared" si="23"/>
        <v>5</v>
      </c>
      <c r="Q475" s="29"/>
      <c r="R475" s="202">
        <f>IF(P475,(P475-Q475)/P475,"NB")</f>
        <v>1</v>
      </c>
    </row>
    <row r="476" spans="1:18" ht="15.75">
      <c r="A476" s="59" t="s">
        <v>279</v>
      </c>
      <c r="B476" s="85" t="s">
        <v>634</v>
      </c>
      <c r="C476" s="29"/>
      <c r="D476" s="29"/>
      <c r="E476" s="29"/>
      <c r="F476" s="196"/>
      <c r="G476" s="196"/>
      <c r="H476" s="352">
        <v>15</v>
      </c>
      <c r="I476" s="191"/>
      <c r="J476" s="196">
        <f t="shared" si="25"/>
        <v>1</v>
      </c>
      <c r="K476" s="29"/>
      <c r="L476" s="29"/>
      <c r="M476" s="29"/>
      <c r="N476" s="194"/>
      <c r="O476" s="194"/>
      <c r="P476" s="162">
        <f t="shared" si="23"/>
        <v>15</v>
      </c>
      <c r="Q476" s="29"/>
      <c r="R476" s="202">
        <f>IF(P476,(P476-Q476)/P476,"NB")</f>
        <v>1</v>
      </c>
    </row>
    <row r="477" spans="1:18" ht="15.75">
      <c r="A477" s="266" t="s">
        <v>636</v>
      </c>
      <c r="B477" s="86" t="s">
        <v>635</v>
      </c>
      <c r="C477" s="29"/>
      <c r="D477" s="29"/>
      <c r="E477" s="29"/>
      <c r="F477" s="196"/>
      <c r="G477" s="196"/>
      <c r="H477" s="352">
        <v>2</v>
      </c>
      <c r="I477" s="191"/>
      <c r="J477" s="196">
        <f t="shared" si="25"/>
        <v>1</v>
      </c>
      <c r="K477" s="29"/>
      <c r="L477" s="29"/>
      <c r="M477" s="29"/>
      <c r="N477" s="194"/>
      <c r="O477" s="194"/>
      <c r="P477" s="162">
        <f t="shared" si="23"/>
        <v>2</v>
      </c>
      <c r="Q477" s="29"/>
      <c r="R477" s="202">
        <f>IF(P477,(P477-Q477)/P477,"NB")</f>
        <v>1</v>
      </c>
    </row>
    <row r="478" spans="1:18" ht="15.75">
      <c r="A478" s="266" t="s">
        <v>742</v>
      </c>
      <c r="B478" s="86" t="s">
        <v>637</v>
      </c>
      <c r="C478" s="29"/>
      <c r="D478" s="29"/>
      <c r="E478" s="29"/>
      <c r="F478" s="196"/>
      <c r="G478" s="196"/>
      <c r="H478" s="352">
        <v>30</v>
      </c>
      <c r="I478" s="191"/>
      <c r="J478" s="196">
        <f t="shared" si="25"/>
        <v>1</v>
      </c>
      <c r="K478" s="29"/>
      <c r="L478" s="29"/>
      <c r="M478" s="29"/>
      <c r="N478" s="194"/>
      <c r="O478" s="194"/>
      <c r="P478" s="162">
        <f t="shared" si="23"/>
        <v>30</v>
      </c>
      <c r="Q478" s="29"/>
      <c r="R478" s="202">
        <f>IF(P478,(P478-Q478)/P478,"NB")</f>
        <v>1</v>
      </c>
    </row>
    <row r="479" spans="1:18" ht="15.75">
      <c r="A479" s="266" t="s">
        <v>743</v>
      </c>
      <c r="B479" s="86" t="s">
        <v>736</v>
      </c>
      <c r="C479" s="29"/>
      <c r="D479" s="29"/>
      <c r="E479" s="29"/>
      <c r="F479" s="196"/>
      <c r="G479" s="196"/>
      <c r="H479" s="352">
        <v>75</v>
      </c>
      <c r="I479" s="191"/>
      <c r="J479" s="196">
        <f t="shared" si="25"/>
        <v>1</v>
      </c>
      <c r="K479" s="29"/>
      <c r="L479" s="29"/>
      <c r="M479" s="29"/>
      <c r="N479" s="194"/>
      <c r="O479" s="194"/>
      <c r="P479" s="162">
        <f t="shared" si="23"/>
        <v>75</v>
      </c>
      <c r="Q479" s="29"/>
      <c r="R479" s="202">
        <f>IF(P479,(P479-Q479)/P479,"NB")</f>
        <v>1</v>
      </c>
    </row>
    <row r="480" spans="1:18" ht="30.75">
      <c r="A480" s="266" t="s">
        <v>744</v>
      </c>
      <c r="B480" s="87" t="s">
        <v>638</v>
      </c>
      <c r="C480" s="29"/>
      <c r="D480" s="29"/>
      <c r="E480" s="29"/>
      <c r="F480" s="196"/>
      <c r="G480" s="196"/>
      <c r="H480" s="352">
        <v>60</v>
      </c>
      <c r="I480" s="191"/>
      <c r="J480" s="196">
        <f t="shared" si="25"/>
        <v>1</v>
      </c>
      <c r="K480" s="29"/>
      <c r="L480" s="29"/>
      <c r="M480" s="29"/>
      <c r="N480" s="194"/>
      <c r="O480" s="194"/>
      <c r="P480" s="162">
        <f t="shared" si="23"/>
        <v>60</v>
      </c>
      <c r="Q480" s="29"/>
      <c r="R480" s="202">
        <f>IF(P480,(P480-Q480)/P480,"NB")</f>
        <v>1</v>
      </c>
    </row>
    <row r="481" spans="1:18" ht="15.75">
      <c r="A481" s="300" t="s">
        <v>280</v>
      </c>
      <c r="B481" s="260" t="s">
        <v>737</v>
      </c>
      <c r="C481" s="261"/>
      <c r="D481" s="262"/>
      <c r="E481" s="262"/>
      <c r="F481" s="262"/>
      <c r="G481" s="262"/>
      <c r="H481" s="354">
        <v>18</v>
      </c>
      <c r="I481" s="263">
        <f>SUM(I482:I484)</f>
        <v>0</v>
      </c>
      <c r="J481" s="262"/>
      <c r="K481" s="262"/>
      <c r="L481" s="262"/>
      <c r="M481" s="262"/>
      <c r="N481" s="198"/>
      <c r="O481" s="198"/>
      <c r="P481" s="264">
        <f t="shared" si="23"/>
        <v>18</v>
      </c>
      <c r="Q481" s="264">
        <f t="shared" si="23"/>
        <v>0</v>
      </c>
      <c r="R481" s="265">
        <f>IF(P481,(P481-Q481)/P481,"NB")</f>
        <v>1</v>
      </c>
    </row>
    <row r="482" spans="1:18" ht="15.75">
      <c r="A482" s="59" t="s">
        <v>281</v>
      </c>
      <c r="B482" s="85" t="s">
        <v>564</v>
      </c>
      <c r="C482" s="89"/>
      <c r="D482" s="89"/>
      <c r="E482" s="89"/>
      <c r="F482" s="196"/>
      <c r="G482" s="196"/>
      <c r="H482" s="352"/>
      <c r="I482" s="191"/>
      <c r="J482" s="196" t="str">
        <f>IF(H482,(H482-I482)/H482,"NB")</f>
        <v>NB</v>
      </c>
      <c r="K482" s="89"/>
      <c r="L482" s="89"/>
      <c r="M482" s="89"/>
      <c r="N482" s="194"/>
      <c r="O482" s="194"/>
      <c r="P482" s="162">
        <f t="shared" si="23"/>
        <v>0</v>
      </c>
      <c r="Q482" s="89"/>
      <c r="R482" s="202" t="str">
        <f>IF(P482,(P482-Q482)/P482,"NB")</f>
        <v>NB</v>
      </c>
    </row>
    <row r="483" spans="1:18" ht="15.75">
      <c r="A483" s="59" t="s">
        <v>282</v>
      </c>
      <c r="B483" s="85" t="s">
        <v>569</v>
      </c>
      <c r="C483" s="89"/>
      <c r="D483" s="89"/>
      <c r="E483" s="89"/>
      <c r="F483" s="196"/>
      <c r="G483" s="196"/>
      <c r="H483" s="352"/>
      <c r="I483" s="191"/>
      <c r="J483" s="196" t="str">
        <f>IF(H483,(H483-I483)/H483,"NB")</f>
        <v>NB</v>
      </c>
      <c r="K483" s="89"/>
      <c r="L483" s="89"/>
      <c r="M483" s="89"/>
      <c r="N483" s="194"/>
      <c r="O483" s="194"/>
      <c r="P483" s="162">
        <f t="shared" si="23"/>
        <v>0</v>
      </c>
      <c r="Q483" s="89"/>
      <c r="R483" s="202" t="str">
        <f>IF(P483,(P483-Q483)/P483,"NB")</f>
        <v>NB</v>
      </c>
    </row>
    <row r="484" spans="1:18" ht="15.75">
      <c r="A484" s="59" t="s">
        <v>745</v>
      </c>
      <c r="B484" s="85" t="s">
        <v>570</v>
      </c>
      <c r="C484" s="89"/>
      <c r="D484" s="89"/>
      <c r="E484" s="89"/>
      <c r="F484" s="196"/>
      <c r="G484" s="196"/>
      <c r="H484" s="352"/>
      <c r="I484" s="191"/>
      <c r="J484" s="196" t="str">
        <f>IF(H484,(H484-I484)/H484,"NB")</f>
        <v>NB</v>
      </c>
      <c r="K484" s="89"/>
      <c r="L484" s="89"/>
      <c r="M484" s="89"/>
      <c r="N484" s="194"/>
      <c r="O484" s="194"/>
      <c r="P484" s="162">
        <f t="shared" si="23"/>
        <v>0</v>
      </c>
      <c r="Q484" s="89"/>
      <c r="R484" s="202" t="str">
        <f>IF(P484,(P484-Q484)/P484,"NB")</f>
        <v>NB</v>
      </c>
    </row>
    <row r="485" spans="1:18" ht="15.75">
      <c r="A485" s="192" t="s">
        <v>280</v>
      </c>
      <c r="B485" s="146" t="s">
        <v>998</v>
      </c>
      <c r="C485" s="38"/>
      <c r="D485" s="38"/>
      <c r="E485" s="38"/>
      <c r="F485" s="38"/>
      <c r="G485" s="38"/>
      <c r="H485" s="333"/>
      <c r="I485" s="145">
        <f>SUM(I486:I493)</f>
        <v>0</v>
      </c>
      <c r="J485" s="38"/>
      <c r="K485" s="38"/>
      <c r="L485" s="38"/>
      <c r="M485" s="38"/>
      <c r="N485" s="38"/>
      <c r="O485" s="38"/>
      <c r="P485" s="134">
        <f>H485</f>
        <v>0</v>
      </c>
      <c r="Q485" s="145">
        <f>SUM(Q486:Q493)</f>
        <v>0</v>
      </c>
      <c r="R485" s="145" t="str">
        <f>IF(P485,(P485-Q485)/P485,"NB")</f>
        <v>NB</v>
      </c>
    </row>
    <row r="486" spans="1:18" s="167" customFormat="1" ht="15.75">
      <c r="A486" s="267" t="s">
        <v>283</v>
      </c>
      <c r="B486" s="88" t="s">
        <v>284</v>
      </c>
      <c r="C486" s="88"/>
      <c r="D486" s="88"/>
      <c r="E486" s="88"/>
      <c r="F486" s="88"/>
      <c r="G486" s="88"/>
      <c r="H486" s="355">
        <f>SUM(H487:H504)</f>
        <v>362.52000000000004</v>
      </c>
      <c r="I486" s="143">
        <f>SUM(I487:I504)</f>
        <v>0</v>
      </c>
      <c r="J486" s="88"/>
      <c r="K486" s="88"/>
      <c r="L486" s="88"/>
      <c r="M486" s="88"/>
      <c r="N486" s="88"/>
      <c r="O486" s="88"/>
      <c r="P486" s="158">
        <f t="shared" si="23"/>
        <v>362.52000000000004</v>
      </c>
      <c r="Q486" s="143">
        <f>SUM(Q487:Q504)</f>
        <v>0</v>
      </c>
      <c r="R486" s="143">
        <f>IF(P486,(P486-Q486)/P486,"NB")</f>
        <v>1</v>
      </c>
    </row>
    <row r="487" spans="1:18" ht="15.75">
      <c r="A487" s="59" t="s">
        <v>285</v>
      </c>
      <c r="B487" s="85" t="s">
        <v>512</v>
      </c>
      <c r="C487" s="90"/>
      <c r="D487" s="90"/>
      <c r="E487" s="90"/>
      <c r="F487" s="196"/>
      <c r="G487" s="196"/>
      <c r="H487" s="352">
        <v>5.81</v>
      </c>
      <c r="I487" s="191"/>
      <c r="J487" s="196">
        <f aca="true" t="shared" si="26" ref="J487:J505">IF(H487,(H487-I487)/H487,"NB")</f>
        <v>1</v>
      </c>
      <c r="K487" s="90"/>
      <c r="L487" s="90"/>
      <c r="M487" s="90"/>
      <c r="N487" s="194"/>
      <c r="O487" s="194"/>
      <c r="P487" s="162">
        <f t="shared" si="23"/>
        <v>5.81</v>
      </c>
      <c r="Q487" s="90"/>
      <c r="R487" s="202">
        <f>IF(P487,(P487-Q487)/P487,"NB")</f>
        <v>1</v>
      </c>
    </row>
    <row r="488" spans="1:18" ht="15.75">
      <c r="A488" s="59" t="s">
        <v>286</v>
      </c>
      <c r="B488" s="85" t="s">
        <v>513</v>
      </c>
      <c r="C488" s="90"/>
      <c r="D488" s="90"/>
      <c r="E488" s="90"/>
      <c r="F488" s="196"/>
      <c r="G488" s="196"/>
      <c r="H488" s="352">
        <v>7</v>
      </c>
      <c r="I488" s="191"/>
      <c r="J488" s="196">
        <f t="shared" si="26"/>
        <v>1</v>
      </c>
      <c r="K488" s="90"/>
      <c r="L488" s="90"/>
      <c r="M488" s="90"/>
      <c r="N488" s="194"/>
      <c r="O488" s="194"/>
      <c r="P488" s="162">
        <f t="shared" si="23"/>
        <v>7</v>
      </c>
      <c r="Q488" s="90"/>
      <c r="R488" s="202">
        <f>IF(P488,(P488-Q488)/P488,"NB")</f>
        <v>1</v>
      </c>
    </row>
    <row r="489" spans="1:18" ht="15.75">
      <c r="A489" s="59" t="s">
        <v>514</v>
      </c>
      <c r="B489" s="85" t="s">
        <v>563</v>
      </c>
      <c r="C489" s="90"/>
      <c r="D489" s="90"/>
      <c r="E489" s="90"/>
      <c r="F489" s="196"/>
      <c r="G489" s="196"/>
      <c r="H489" s="352">
        <v>15</v>
      </c>
      <c r="I489" s="191"/>
      <c r="J489" s="196">
        <f t="shared" si="26"/>
        <v>1</v>
      </c>
      <c r="K489" s="90"/>
      <c r="L489" s="90"/>
      <c r="M489" s="90"/>
      <c r="N489" s="194"/>
      <c r="O489" s="194"/>
      <c r="P489" s="162">
        <f t="shared" si="23"/>
        <v>15</v>
      </c>
      <c r="Q489" s="90"/>
      <c r="R489" s="202">
        <f>IF(P489,(P489-Q489)/P489,"NB")</f>
        <v>1</v>
      </c>
    </row>
    <row r="490" spans="1:18" ht="15.75">
      <c r="A490" s="59" t="s">
        <v>515</v>
      </c>
      <c r="B490" s="85" t="s">
        <v>630</v>
      </c>
      <c r="C490" s="90"/>
      <c r="D490" s="90"/>
      <c r="E490" s="90"/>
      <c r="F490" s="196"/>
      <c r="G490" s="196"/>
      <c r="H490" s="352"/>
      <c r="I490" s="191"/>
      <c r="J490" s="196" t="str">
        <f t="shared" si="26"/>
        <v>NB</v>
      </c>
      <c r="K490" s="90"/>
      <c r="L490" s="90"/>
      <c r="M490" s="90"/>
      <c r="N490" s="194"/>
      <c r="O490" s="194"/>
      <c r="P490" s="162">
        <f t="shared" si="23"/>
        <v>0</v>
      </c>
      <c r="Q490" s="90"/>
      <c r="R490" s="202" t="str">
        <f>IF(P490,(P490-Q490)/P490,"NB")</f>
        <v>NB</v>
      </c>
    </row>
    <row r="491" spans="1:18" ht="15.75">
      <c r="A491" s="59" t="s">
        <v>287</v>
      </c>
      <c r="B491" s="85" t="s">
        <v>516</v>
      </c>
      <c r="C491" s="90"/>
      <c r="D491" s="90"/>
      <c r="E491" s="90"/>
      <c r="F491" s="196"/>
      <c r="G491" s="196"/>
      <c r="H491" s="352">
        <v>15</v>
      </c>
      <c r="I491" s="191"/>
      <c r="J491" s="196">
        <f t="shared" si="26"/>
        <v>1</v>
      </c>
      <c r="K491" s="90"/>
      <c r="L491" s="90"/>
      <c r="M491" s="90"/>
      <c r="N491" s="194"/>
      <c r="O491" s="194"/>
      <c r="P491" s="162">
        <f t="shared" si="23"/>
        <v>15</v>
      </c>
      <c r="Q491" s="90"/>
      <c r="R491" s="202">
        <f>IF(P491,(P491-Q491)/P491,"NB")</f>
        <v>1</v>
      </c>
    </row>
    <row r="492" spans="1:18" ht="15.75">
      <c r="A492" s="59" t="s">
        <v>288</v>
      </c>
      <c r="B492" s="85" t="s">
        <v>289</v>
      </c>
      <c r="C492" s="90"/>
      <c r="D492" s="90"/>
      <c r="E492" s="90"/>
      <c r="F492" s="196"/>
      <c r="G492" s="196"/>
      <c r="H492" s="352">
        <v>14.03</v>
      </c>
      <c r="I492" s="191"/>
      <c r="J492" s="196">
        <f t="shared" si="26"/>
        <v>1</v>
      </c>
      <c r="K492" s="90"/>
      <c r="L492" s="90"/>
      <c r="M492" s="90"/>
      <c r="N492" s="194"/>
      <c r="O492" s="194"/>
      <c r="P492" s="162">
        <f t="shared" si="23"/>
        <v>14.03</v>
      </c>
      <c r="Q492" s="90"/>
      <c r="R492" s="202">
        <f>IF(P492,(P492-Q492)/P492,"NB")</f>
        <v>1</v>
      </c>
    </row>
    <row r="493" spans="1:18" ht="15.75">
      <c r="A493" s="59" t="s">
        <v>290</v>
      </c>
      <c r="B493" s="85" t="s">
        <v>224</v>
      </c>
      <c r="C493" s="93"/>
      <c r="D493" s="93"/>
      <c r="E493" s="93"/>
      <c r="F493" s="196"/>
      <c r="G493" s="196"/>
      <c r="H493" s="352">
        <v>40</v>
      </c>
      <c r="I493" s="191"/>
      <c r="J493" s="196">
        <f t="shared" si="26"/>
        <v>1</v>
      </c>
      <c r="K493" s="93"/>
      <c r="L493" s="93"/>
      <c r="M493" s="93"/>
      <c r="N493" s="194"/>
      <c r="O493" s="194"/>
      <c r="P493" s="162">
        <f t="shared" si="23"/>
        <v>40</v>
      </c>
      <c r="Q493" s="93"/>
      <c r="R493" s="202">
        <f>IF(P493,(P493-Q493)/P493,"NB")</f>
        <v>1</v>
      </c>
    </row>
    <row r="494" spans="1:18" ht="15.75">
      <c r="A494" s="59" t="s">
        <v>291</v>
      </c>
      <c r="B494" s="85" t="s">
        <v>517</v>
      </c>
      <c r="C494" s="91"/>
      <c r="D494" s="91"/>
      <c r="E494" s="91"/>
      <c r="F494" s="196"/>
      <c r="G494" s="196"/>
      <c r="H494" s="352">
        <v>15.25</v>
      </c>
      <c r="I494" s="191"/>
      <c r="J494" s="196">
        <f t="shared" si="26"/>
        <v>1</v>
      </c>
      <c r="K494" s="91"/>
      <c r="L494" s="91"/>
      <c r="M494" s="91"/>
      <c r="N494" s="194"/>
      <c r="O494" s="194"/>
      <c r="P494" s="162">
        <f t="shared" si="23"/>
        <v>15.25</v>
      </c>
      <c r="Q494" s="91"/>
      <c r="R494" s="202">
        <f>IF(P494,(P494-Q494)/P494,"NB")</f>
        <v>1</v>
      </c>
    </row>
    <row r="495" spans="1:18" ht="15.75">
      <c r="A495" s="59" t="s">
        <v>292</v>
      </c>
      <c r="B495" s="85" t="s">
        <v>518</v>
      </c>
      <c r="C495" s="92"/>
      <c r="D495" s="92"/>
      <c r="E495" s="92"/>
      <c r="F495" s="196"/>
      <c r="G495" s="196"/>
      <c r="H495" s="352">
        <v>10</v>
      </c>
      <c r="I495" s="191"/>
      <c r="J495" s="196">
        <f t="shared" si="26"/>
        <v>1</v>
      </c>
      <c r="K495" s="92"/>
      <c r="L495" s="92"/>
      <c r="M495" s="92"/>
      <c r="N495" s="194"/>
      <c r="O495" s="194"/>
      <c r="P495" s="162">
        <f t="shared" si="23"/>
        <v>10</v>
      </c>
      <c r="Q495" s="92"/>
      <c r="R495" s="202">
        <f>IF(P495,(P495-Q495)/P495,"NB")</f>
        <v>1</v>
      </c>
    </row>
    <row r="496" spans="1:18" ht="15.75">
      <c r="A496" s="59" t="s">
        <v>293</v>
      </c>
      <c r="B496" s="85" t="s">
        <v>519</v>
      </c>
      <c r="C496" s="90"/>
      <c r="D496" s="90"/>
      <c r="E496" s="90"/>
      <c r="F496" s="196"/>
      <c r="G496" s="196"/>
      <c r="H496" s="352">
        <v>15</v>
      </c>
      <c r="I496" s="191"/>
      <c r="J496" s="196">
        <f t="shared" si="26"/>
        <v>1</v>
      </c>
      <c r="K496" s="90"/>
      <c r="L496" s="90"/>
      <c r="M496" s="90"/>
      <c r="N496" s="194"/>
      <c r="O496" s="194"/>
      <c r="P496" s="162">
        <f t="shared" si="23"/>
        <v>15</v>
      </c>
      <c r="Q496" s="90"/>
      <c r="R496" s="202">
        <f>IF(P496,(P496-Q496)/P496,"NB")</f>
        <v>1</v>
      </c>
    </row>
    <row r="497" spans="1:18" ht="15.75">
      <c r="A497" s="59" t="s">
        <v>294</v>
      </c>
      <c r="B497" s="85" t="s">
        <v>296</v>
      </c>
      <c r="C497" s="90"/>
      <c r="D497" s="90"/>
      <c r="E497" s="90"/>
      <c r="F497" s="196"/>
      <c r="G497" s="196"/>
      <c r="H497" s="352">
        <v>25</v>
      </c>
      <c r="I497" s="191"/>
      <c r="J497" s="196">
        <f t="shared" si="26"/>
        <v>1</v>
      </c>
      <c r="K497" s="90"/>
      <c r="L497" s="90"/>
      <c r="M497" s="90"/>
      <c r="N497" s="194"/>
      <c r="O497" s="194"/>
      <c r="P497" s="162">
        <f t="shared" si="23"/>
        <v>25</v>
      </c>
      <c r="Q497" s="90"/>
      <c r="R497" s="202">
        <f>IF(P497,(P497-Q497)/P497,"NB")</f>
        <v>1</v>
      </c>
    </row>
    <row r="498" spans="1:18" ht="15.75">
      <c r="A498" s="59" t="s">
        <v>295</v>
      </c>
      <c r="B498" s="85" t="s">
        <v>520</v>
      </c>
      <c r="C498" s="90"/>
      <c r="D498" s="90"/>
      <c r="E498" s="90"/>
      <c r="F498" s="196"/>
      <c r="G498" s="196"/>
      <c r="H498" s="352">
        <v>159.25</v>
      </c>
      <c r="I498" s="191"/>
      <c r="J498" s="196">
        <f t="shared" si="26"/>
        <v>1</v>
      </c>
      <c r="K498" s="90"/>
      <c r="L498" s="90"/>
      <c r="M498" s="90"/>
      <c r="N498" s="194"/>
      <c r="O498" s="194"/>
      <c r="P498" s="162">
        <f t="shared" si="23"/>
        <v>159.25</v>
      </c>
      <c r="Q498" s="90"/>
      <c r="R498" s="202">
        <f>IF(P498,(P498-Q498)/P498,"NB")</f>
        <v>1</v>
      </c>
    </row>
    <row r="499" spans="1:18" ht="15.75">
      <c r="A499" s="59" t="s">
        <v>297</v>
      </c>
      <c r="B499" s="85" t="s">
        <v>299</v>
      </c>
      <c r="C499" s="90"/>
      <c r="D499" s="90"/>
      <c r="E499" s="90"/>
      <c r="F499" s="196"/>
      <c r="G499" s="196"/>
      <c r="H499" s="352">
        <v>4</v>
      </c>
      <c r="I499" s="191"/>
      <c r="J499" s="196">
        <f t="shared" si="26"/>
        <v>1</v>
      </c>
      <c r="K499" s="90"/>
      <c r="L499" s="90"/>
      <c r="M499" s="90"/>
      <c r="N499" s="194"/>
      <c r="O499" s="194"/>
      <c r="P499" s="162">
        <f t="shared" si="23"/>
        <v>4</v>
      </c>
      <c r="Q499" s="90"/>
      <c r="R499" s="202">
        <f>IF(P499,(P499-Q499)/P499,"NB")</f>
        <v>1</v>
      </c>
    </row>
    <row r="500" spans="1:18" ht="15.75">
      <c r="A500" s="59" t="s">
        <v>298</v>
      </c>
      <c r="B500" s="85" t="s">
        <v>521</v>
      </c>
      <c r="C500" s="90"/>
      <c r="D500" s="90"/>
      <c r="E500" s="90"/>
      <c r="F500" s="196"/>
      <c r="G500" s="196"/>
      <c r="H500" s="352"/>
      <c r="I500" s="191"/>
      <c r="J500" s="196" t="str">
        <f t="shared" si="26"/>
        <v>NB</v>
      </c>
      <c r="K500" s="90"/>
      <c r="L500" s="90"/>
      <c r="M500" s="90"/>
      <c r="N500" s="194"/>
      <c r="O500" s="194"/>
      <c r="P500" s="162">
        <f t="shared" si="23"/>
        <v>0</v>
      </c>
      <c r="Q500" s="90"/>
      <c r="R500" s="202" t="str">
        <f>IF(P500,(P500-Q500)/P500,"NB")</f>
        <v>NB</v>
      </c>
    </row>
    <row r="501" spans="1:18" ht="15.75">
      <c r="A501" s="59" t="s">
        <v>300</v>
      </c>
      <c r="B501" s="85" t="s">
        <v>400</v>
      </c>
      <c r="C501" s="90"/>
      <c r="D501" s="90"/>
      <c r="E501" s="90"/>
      <c r="F501" s="196"/>
      <c r="G501" s="196"/>
      <c r="H501" s="352">
        <v>8.88</v>
      </c>
      <c r="I501" s="191"/>
      <c r="J501" s="196">
        <f t="shared" si="26"/>
        <v>1</v>
      </c>
      <c r="K501" s="90"/>
      <c r="L501" s="90"/>
      <c r="M501" s="90"/>
      <c r="N501" s="194"/>
      <c r="O501" s="194"/>
      <c r="P501" s="162">
        <f t="shared" si="23"/>
        <v>8.88</v>
      </c>
      <c r="Q501" s="90"/>
      <c r="R501" s="202">
        <f>IF(P501,(P501-Q501)/P501,"NB")</f>
        <v>1</v>
      </c>
    </row>
    <row r="502" spans="1:18" ht="15.75">
      <c r="A502" s="59" t="s">
        <v>301</v>
      </c>
      <c r="B502" s="85" t="s">
        <v>522</v>
      </c>
      <c r="C502" s="90"/>
      <c r="D502" s="90"/>
      <c r="E502" s="90"/>
      <c r="F502" s="196"/>
      <c r="G502" s="196"/>
      <c r="H502" s="352">
        <f>21.5+2</f>
        <v>23.5</v>
      </c>
      <c r="I502" s="191"/>
      <c r="J502" s="196">
        <f t="shared" si="26"/>
        <v>1</v>
      </c>
      <c r="K502" s="90"/>
      <c r="L502" s="90"/>
      <c r="M502" s="90"/>
      <c r="N502" s="194"/>
      <c r="O502" s="194"/>
      <c r="P502" s="162">
        <f t="shared" si="23"/>
        <v>23.5</v>
      </c>
      <c r="Q502" s="90"/>
      <c r="R502" s="202">
        <f>IF(P502,(P502-Q502)/P502,"NB")</f>
        <v>1</v>
      </c>
    </row>
    <row r="503" spans="1:18" ht="15.75">
      <c r="A503" s="59" t="s">
        <v>302</v>
      </c>
      <c r="B503" s="85" t="s">
        <v>523</v>
      </c>
      <c r="C503" s="90"/>
      <c r="D503" s="90"/>
      <c r="E503" s="90"/>
      <c r="F503" s="196"/>
      <c r="G503" s="196"/>
      <c r="H503" s="352">
        <v>4.8</v>
      </c>
      <c r="I503" s="191"/>
      <c r="J503" s="196">
        <f t="shared" si="26"/>
        <v>1</v>
      </c>
      <c r="K503" s="90"/>
      <c r="L503" s="90"/>
      <c r="M503" s="90"/>
      <c r="N503" s="194"/>
      <c r="O503" s="194"/>
      <c r="P503" s="162">
        <f t="shared" si="23"/>
        <v>4.8</v>
      </c>
      <c r="Q503" s="90"/>
      <c r="R503" s="202">
        <f>IF(P503,(P503-Q503)/P503,"NB")</f>
        <v>1</v>
      </c>
    </row>
    <row r="504" spans="1:18" ht="15.75">
      <c r="A504" s="59" t="s">
        <v>303</v>
      </c>
      <c r="B504" s="85" t="s">
        <v>524</v>
      </c>
      <c r="C504" s="90"/>
      <c r="D504" s="90"/>
      <c r="E504" s="90"/>
      <c r="F504" s="196"/>
      <c r="G504" s="196"/>
      <c r="H504" s="352"/>
      <c r="I504" s="191"/>
      <c r="J504" s="196" t="str">
        <f t="shared" si="26"/>
        <v>NB</v>
      </c>
      <c r="K504" s="90"/>
      <c r="L504" s="90"/>
      <c r="M504" s="90"/>
      <c r="N504" s="194"/>
      <c r="O504" s="194"/>
      <c r="P504" s="162">
        <f t="shared" si="23"/>
        <v>0</v>
      </c>
      <c r="Q504" s="90"/>
      <c r="R504" s="202" t="str">
        <f>IF(P504,(P504-Q504)/P504,"NB")</f>
        <v>NB</v>
      </c>
    </row>
    <row r="505" spans="1:18" s="167" customFormat="1" ht="15.75">
      <c r="A505" s="64" t="s">
        <v>304</v>
      </c>
      <c r="B505" s="65" t="s">
        <v>305</v>
      </c>
      <c r="C505" s="65"/>
      <c r="D505" s="65"/>
      <c r="E505" s="65"/>
      <c r="F505" s="214"/>
      <c r="G505" s="214"/>
      <c r="H505" s="356">
        <f>H13+H144+H256+H264+H277+H301+H406+H455+H486</f>
        <v>8991.560000000001</v>
      </c>
      <c r="I505" s="144">
        <f>I13+I144+I256+I264+I277+I301+I406+I455+I486</f>
        <v>222.65628719999998</v>
      </c>
      <c r="J505" s="214">
        <f t="shared" si="26"/>
        <v>0.9752371905208885</v>
      </c>
      <c r="K505" s="65"/>
      <c r="L505" s="65"/>
      <c r="M505" s="65"/>
      <c r="N505" s="65"/>
      <c r="O505" s="65"/>
      <c r="P505" s="159">
        <f t="shared" si="23"/>
        <v>8991.560000000001</v>
      </c>
      <c r="Q505" s="144">
        <f>Q13+Q144+Q256+Q264+Q277+Q301+Q406+Q455+Q486</f>
        <v>1547.6802535</v>
      </c>
      <c r="R505" s="214">
        <f>IF(P505,(P505-Q505)/P505,"NB")</f>
        <v>0.8278741115557257</v>
      </c>
    </row>
    <row r="506" spans="1:2" ht="15">
      <c r="A506" s="301"/>
      <c r="B506" s="73"/>
    </row>
    <row r="507" spans="1:15" ht="15.75">
      <c r="A507" s="302" t="s">
        <v>1005</v>
      </c>
      <c r="B507" s="94" t="s">
        <v>772</v>
      </c>
      <c r="C507" s="95"/>
      <c r="D507" s="95"/>
      <c r="E507" s="95"/>
      <c r="F507" s="95"/>
      <c r="G507" s="95"/>
      <c r="H507" s="357"/>
      <c r="I507" s="153"/>
      <c r="J507" s="95"/>
      <c r="K507" s="95"/>
      <c r="L507" s="95"/>
      <c r="M507" s="95"/>
      <c r="N507" s="95"/>
      <c r="O507" s="95"/>
    </row>
    <row r="508" spans="1:18" ht="15.75">
      <c r="A508" s="303"/>
      <c r="B508" s="211"/>
      <c r="C508" s="211"/>
      <c r="D508" s="211"/>
      <c r="E508" s="211"/>
      <c r="F508" s="211"/>
      <c r="G508" s="211"/>
      <c r="H508" s="211"/>
      <c r="I508" s="211"/>
      <c r="J508" s="211"/>
      <c r="K508" s="211"/>
      <c r="L508" s="211"/>
      <c r="M508" s="212"/>
      <c r="N508" s="212"/>
      <c r="O508" s="212"/>
      <c r="P508" s="213"/>
      <c r="Q508" s="5"/>
      <c r="R508" s="105"/>
    </row>
    <row r="509" spans="1:18" ht="20.25">
      <c r="A509" s="387" t="s">
        <v>474</v>
      </c>
      <c r="B509" s="388"/>
      <c r="C509" s="388"/>
      <c r="D509" s="388"/>
      <c r="E509" s="388"/>
      <c r="F509" s="388"/>
      <c r="G509" s="388"/>
      <c r="H509" s="388"/>
      <c r="I509" s="388"/>
      <c r="J509" s="388"/>
      <c r="K509" s="388"/>
      <c r="L509" s="388"/>
      <c r="M509" s="388"/>
      <c r="N509" s="388"/>
      <c r="O509" s="388"/>
      <c r="P509" s="388"/>
      <c r="Q509" s="388"/>
      <c r="R509" s="389"/>
    </row>
    <row r="510" spans="1:18" ht="26.25" customHeight="1">
      <c r="A510" s="390" t="s">
        <v>473</v>
      </c>
      <c r="B510" s="391" t="s">
        <v>3</v>
      </c>
      <c r="C510" s="383" t="s">
        <v>4</v>
      </c>
      <c r="D510" s="384"/>
      <c r="E510" s="384"/>
      <c r="F510" s="384"/>
      <c r="G510" s="384"/>
      <c r="H510" s="384"/>
      <c r="I510" s="384"/>
      <c r="J510" s="385"/>
      <c r="K510" s="379" t="s">
        <v>5</v>
      </c>
      <c r="L510" s="379"/>
      <c r="M510" s="379"/>
      <c r="N510" s="379"/>
      <c r="O510" s="379"/>
      <c r="P510" s="379"/>
      <c r="Q510" s="379"/>
      <c r="R510" s="379"/>
    </row>
    <row r="511" spans="1:18" ht="27.75" customHeight="1">
      <c r="A511" s="390"/>
      <c r="B511" s="391"/>
      <c r="C511" s="379" t="s">
        <v>6</v>
      </c>
      <c r="D511" s="379"/>
      <c r="E511" s="379"/>
      <c r="F511" s="379"/>
      <c r="G511" s="383" t="s">
        <v>992</v>
      </c>
      <c r="H511" s="384"/>
      <c r="I511" s="384"/>
      <c r="J511" s="385"/>
      <c r="K511" s="379" t="s">
        <v>6</v>
      </c>
      <c r="L511" s="379"/>
      <c r="M511" s="379"/>
      <c r="N511" s="379"/>
      <c r="O511" s="383" t="s">
        <v>992</v>
      </c>
      <c r="P511" s="384"/>
      <c r="Q511" s="384"/>
      <c r="R511" s="385"/>
    </row>
    <row r="512" spans="1:18" ht="85.5" customHeight="1">
      <c r="A512" s="390"/>
      <c r="B512" s="391"/>
      <c r="C512" s="60" t="s">
        <v>7</v>
      </c>
      <c r="D512" s="60" t="s">
        <v>467</v>
      </c>
      <c r="E512" s="60" t="s">
        <v>773</v>
      </c>
      <c r="F512" s="60" t="s">
        <v>8</v>
      </c>
      <c r="G512" s="60" t="s">
        <v>989</v>
      </c>
      <c r="H512" s="311" t="s">
        <v>9</v>
      </c>
      <c r="I512" s="60" t="s">
        <v>10</v>
      </c>
      <c r="J512" s="60" t="s">
        <v>8</v>
      </c>
      <c r="K512" s="60" t="s">
        <v>7</v>
      </c>
      <c r="L512" s="60" t="s">
        <v>467</v>
      </c>
      <c r="M512" s="60" t="s">
        <v>773</v>
      </c>
      <c r="N512" s="60" t="s">
        <v>8</v>
      </c>
      <c r="O512" s="60" t="s">
        <v>989</v>
      </c>
      <c r="P512" s="160" t="s">
        <v>9</v>
      </c>
      <c r="Q512" s="60" t="s">
        <v>11</v>
      </c>
      <c r="R512" s="60" t="s">
        <v>8</v>
      </c>
    </row>
    <row r="513" spans="1:18" ht="33.75" customHeight="1">
      <c r="A513" s="390"/>
      <c r="B513" s="391"/>
      <c r="C513" s="10" t="s">
        <v>12</v>
      </c>
      <c r="D513" s="10" t="s">
        <v>13</v>
      </c>
      <c r="E513" s="10" t="s">
        <v>14</v>
      </c>
      <c r="F513" s="10" t="s">
        <v>15</v>
      </c>
      <c r="G513" s="10"/>
      <c r="H513" s="312" t="s">
        <v>16</v>
      </c>
      <c r="I513" s="10" t="s">
        <v>17</v>
      </c>
      <c r="J513" s="10" t="s">
        <v>18</v>
      </c>
      <c r="K513" s="10" t="s">
        <v>19</v>
      </c>
      <c r="L513" s="10" t="s">
        <v>20</v>
      </c>
      <c r="M513" s="10" t="s">
        <v>21</v>
      </c>
      <c r="N513" s="10" t="s">
        <v>22</v>
      </c>
      <c r="O513" s="10"/>
      <c r="P513" s="161" t="s">
        <v>23</v>
      </c>
      <c r="Q513" s="10" t="s">
        <v>24</v>
      </c>
      <c r="R513" s="10" t="s">
        <v>25</v>
      </c>
    </row>
    <row r="514" spans="1:18" ht="15">
      <c r="A514" s="268" t="str">
        <f>A32</f>
        <v>A.1.4.4</v>
      </c>
      <c r="B514" s="34" t="str">
        <f>B32</f>
        <v>Incentive to ASHAs</v>
      </c>
      <c r="C514" s="253">
        <f>C32</f>
        <v>0</v>
      </c>
      <c r="D514" s="253">
        <f>D32</f>
        <v>0</v>
      </c>
      <c r="E514" s="253">
        <f aca="true" t="shared" si="27" ref="E514:R514">E32</f>
        <v>283</v>
      </c>
      <c r="F514" s="253">
        <f t="shared" si="27"/>
        <v>0</v>
      </c>
      <c r="G514" s="253">
        <f t="shared" si="27"/>
        <v>0</v>
      </c>
      <c r="H514" s="358">
        <f t="shared" si="27"/>
        <v>47.31</v>
      </c>
      <c r="I514" s="253">
        <f t="shared" si="27"/>
        <v>3.1995</v>
      </c>
      <c r="J514" s="132">
        <f t="shared" si="27"/>
        <v>0.9323715916296766</v>
      </c>
      <c r="K514" s="253">
        <f t="shared" si="27"/>
        <v>0</v>
      </c>
      <c r="L514" s="253">
        <f t="shared" si="27"/>
        <v>0</v>
      </c>
      <c r="M514" s="253">
        <f t="shared" si="27"/>
        <v>283</v>
      </c>
      <c r="N514" s="253">
        <f t="shared" si="27"/>
        <v>0</v>
      </c>
      <c r="O514" s="253">
        <f t="shared" si="27"/>
        <v>0</v>
      </c>
      <c r="P514" s="253">
        <f t="shared" si="27"/>
        <v>47.31</v>
      </c>
      <c r="Q514" s="253">
        <f t="shared" si="27"/>
        <v>19.1155</v>
      </c>
      <c r="R514" s="132">
        <f t="shared" si="27"/>
        <v>0.5959522299725216</v>
      </c>
    </row>
    <row r="515" spans="1:18" ht="15">
      <c r="A515" s="268" t="str">
        <f>A51</f>
        <v>A.2.9</v>
      </c>
      <c r="B515" s="34" t="str">
        <f>B51</f>
        <v>Incentive to ASHA under Child Health</v>
      </c>
      <c r="C515" s="253" t="str">
        <f aca="true" t="shared" si="28" ref="C515:R515">C51</f>
        <v>No. of ASHAs</v>
      </c>
      <c r="D515" s="253">
        <f t="shared" si="28"/>
        <v>40989</v>
      </c>
      <c r="E515" s="253">
        <f t="shared" si="28"/>
        <v>0</v>
      </c>
      <c r="F515" s="253">
        <f t="shared" si="28"/>
        <v>0</v>
      </c>
      <c r="G515" s="253">
        <f t="shared" si="28"/>
        <v>0</v>
      </c>
      <c r="H515" s="358">
        <f t="shared" si="28"/>
        <v>83.62</v>
      </c>
      <c r="I515" s="253">
        <f t="shared" si="28"/>
        <v>0</v>
      </c>
      <c r="J515" s="107">
        <f t="shared" si="28"/>
        <v>1</v>
      </c>
      <c r="K515" s="253" t="str">
        <f t="shared" si="28"/>
        <v>No. of ASHAs</v>
      </c>
      <c r="L515" s="253">
        <f t="shared" si="28"/>
        <v>40989</v>
      </c>
      <c r="M515" s="253">
        <f t="shared" si="28"/>
        <v>0</v>
      </c>
      <c r="N515" s="253">
        <f t="shared" si="28"/>
        <v>0</v>
      </c>
      <c r="O515" s="253">
        <f t="shared" si="28"/>
        <v>0</v>
      </c>
      <c r="P515" s="253">
        <f t="shared" si="28"/>
        <v>83.62</v>
      </c>
      <c r="Q515" s="253">
        <f t="shared" si="28"/>
        <v>0</v>
      </c>
      <c r="R515" s="107">
        <f t="shared" si="28"/>
        <v>1</v>
      </c>
    </row>
    <row r="516" spans="1:18" ht="28.5" customHeight="1">
      <c r="A516" s="276" t="str">
        <f>A149</f>
        <v>B1.1.3</v>
      </c>
      <c r="B516" s="39" t="str">
        <f>B149</f>
        <v>Performance Incentive/Other Incentive to ASHAs (if any)</v>
      </c>
      <c r="C516" s="254">
        <f aca="true" t="shared" si="29" ref="C516:R516">C149</f>
        <v>0</v>
      </c>
      <c r="D516" s="254">
        <f t="shared" si="29"/>
        <v>0</v>
      </c>
      <c r="E516" s="254">
        <f t="shared" si="29"/>
        <v>0</v>
      </c>
      <c r="F516" s="254">
        <f t="shared" si="29"/>
        <v>0</v>
      </c>
      <c r="G516" s="254">
        <f t="shared" si="29"/>
        <v>0</v>
      </c>
      <c r="H516" s="359">
        <f t="shared" si="29"/>
        <v>0</v>
      </c>
      <c r="I516" s="254">
        <f t="shared" si="29"/>
        <v>0.63</v>
      </c>
      <c r="J516" s="112" t="str">
        <f t="shared" si="29"/>
        <v>NB</v>
      </c>
      <c r="K516" s="254">
        <f t="shared" si="29"/>
        <v>0</v>
      </c>
      <c r="L516" s="254">
        <f t="shared" si="29"/>
        <v>0</v>
      </c>
      <c r="M516" s="254">
        <f t="shared" si="29"/>
        <v>0</v>
      </c>
      <c r="N516" s="254">
        <f t="shared" si="29"/>
        <v>0</v>
      </c>
      <c r="O516" s="254">
        <f t="shared" si="29"/>
        <v>0</v>
      </c>
      <c r="P516" s="254">
        <f t="shared" si="29"/>
        <v>0</v>
      </c>
      <c r="Q516" s="254">
        <f t="shared" si="29"/>
        <v>40.35412</v>
      </c>
      <c r="R516" s="112" t="str">
        <f t="shared" si="29"/>
        <v>NB</v>
      </c>
    </row>
    <row r="517" spans="1:18" ht="28.5" customHeight="1">
      <c r="A517" s="276" t="str">
        <f>A261</f>
        <v>C.5</v>
      </c>
      <c r="B517" s="39" t="s">
        <v>472</v>
      </c>
      <c r="C517" s="254">
        <f aca="true" t="shared" si="30" ref="C517:R517">C261</f>
        <v>0</v>
      </c>
      <c r="D517" s="254">
        <f t="shared" si="30"/>
        <v>0</v>
      </c>
      <c r="E517" s="254">
        <f t="shared" si="30"/>
        <v>0</v>
      </c>
      <c r="F517" s="254">
        <f t="shared" si="30"/>
        <v>0</v>
      </c>
      <c r="G517" s="254">
        <f t="shared" si="30"/>
        <v>0</v>
      </c>
      <c r="H517" s="359">
        <f t="shared" si="30"/>
        <v>6.36</v>
      </c>
      <c r="I517" s="254">
        <f t="shared" si="30"/>
        <v>0</v>
      </c>
      <c r="J517" s="112">
        <f t="shared" si="30"/>
        <v>1</v>
      </c>
      <c r="K517" s="254">
        <f t="shared" si="30"/>
        <v>0</v>
      </c>
      <c r="L517" s="254">
        <f t="shared" si="30"/>
        <v>0</v>
      </c>
      <c r="M517" s="254">
        <f t="shared" si="30"/>
        <v>0</v>
      </c>
      <c r="N517" s="254">
        <f t="shared" si="30"/>
        <v>0</v>
      </c>
      <c r="O517" s="254">
        <f t="shared" si="30"/>
        <v>0</v>
      </c>
      <c r="P517" s="254">
        <f t="shared" si="30"/>
        <v>6.36</v>
      </c>
      <c r="Q517" s="254">
        <f t="shared" si="30"/>
        <v>0.2655</v>
      </c>
      <c r="R517" s="112">
        <f t="shared" si="30"/>
        <v>0.9582547169811321</v>
      </c>
    </row>
    <row r="518" spans="1:18" ht="28.5" customHeight="1">
      <c r="A518" s="276" t="str">
        <f>A275</f>
        <v>D.6.</v>
      </c>
      <c r="B518" s="29" t="s">
        <v>990</v>
      </c>
      <c r="C518" s="255" t="str">
        <f>C275</f>
        <v> </v>
      </c>
      <c r="D518" s="254">
        <f aca="true" t="shared" si="31" ref="D518:R518">D275</f>
        <v>0</v>
      </c>
      <c r="E518" s="254">
        <f t="shared" si="31"/>
        <v>0</v>
      </c>
      <c r="F518" s="254">
        <f t="shared" si="31"/>
        <v>0</v>
      </c>
      <c r="G518" s="254">
        <f t="shared" si="31"/>
        <v>0</v>
      </c>
      <c r="H518" s="359">
        <v>0</v>
      </c>
      <c r="I518" s="254">
        <f t="shared" si="31"/>
        <v>0</v>
      </c>
      <c r="J518" s="112">
        <f t="shared" si="31"/>
        <v>1</v>
      </c>
      <c r="K518" s="254">
        <f t="shared" si="31"/>
        <v>0</v>
      </c>
      <c r="L518" s="254">
        <f t="shared" si="31"/>
        <v>0</v>
      </c>
      <c r="M518" s="254">
        <f t="shared" si="31"/>
        <v>0</v>
      </c>
      <c r="N518" s="254">
        <f t="shared" si="31"/>
        <v>0</v>
      </c>
      <c r="O518" s="254">
        <f t="shared" si="31"/>
        <v>0</v>
      </c>
      <c r="P518" s="254">
        <f t="shared" si="31"/>
        <v>11.63</v>
      </c>
      <c r="Q518" s="254">
        <f t="shared" si="31"/>
        <v>0</v>
      </c>
      <c r="R518" s="112">
        <f t="shared" si="31"/>
        <v>1</v>
      </c>
    </row>
    <row r="519" spans="1:18" ht="15">
      <c r="A519" s="276" t="str">
        <f>A310</f>
        <v>F.1.1.b</v>
      </c>
      <c r="B519" s="29" t="s">
        <v>804</v>
      </c>
      <c r="C519" s="254">
        <f aca="true" t="shared" si="32" ref="C519:R519">C310</f>
        <v>0</v>
      </c>
      <c r="D519" s="254">
        <f t="shared" si="32"/>
        <v>0</v>
      </c>
      <c r="E519" s="254">
        <f t="shared" si="32"/>
        <v>0</v>
      </c>
      <c r="F519" s="254">
        <f t="shared" si="32"/>
        <v>0</v>
      </c>
      <c r="G519" s="254">
        <f t="shared" si="32"/>
        <v>0</v>
      </c>
      <c r="H519" s="359">
        <f t="shared" si="32"/>
        <v>10</v>
      </c>
      <c r="I519" s="254">
        <f t="shared" si="32"/>
        <v>0</v>
      </c>
      <c r="J519" s="112">
        <f t="shared" si="32"/>
        <v>1</v>
      </c>
      <c r="K519" s="254">
        <f t="shared" si="32"/>
        <v>0</v>
      </c>
      <c r="L519" s="254">
        <f t="shared" si="32"/>
        <v>0</v>
      </c>
      <c r="M519" s="254">
        <f t="shared" si="32"/>
        <v>0</v>
      </c>
      <c r="N519" s="254">
        <f t="shared" si="32"/>
        <v>0</v>
      </c>
      <c r="O519" s="254">
        <f t="shared" si="32"/>
        <v>0</v>
      </c>
      <c r="P519" s="254">
        <f t="shared" si="32"/>
        <v>10</v>
      </c>
      <c r="Q519" s="254">
        <f t="shared" si="32"/>
        <v>0</v>
      </c>
      <c r="R519" s="112">
        <f t="shared" si="32"/>
        <v>1</v>
      </c>
    </row>
    <row r="520" spans="1:18" ht="15">
      <c r="A520" s="276" t="str">
        <f>A408</f>
        <v>G 1.1</v>
      </c>
      <c r="B520" s="39" t="s">
        <v>991</v>
      </c>
      <c r="C520" s="254">
        <f aca="true" t="shared" si="33" ref="C520:R520">C408</f>
        <v>0</v>
      </c>
      <c r="D520" s="254">
        <f t="shared" si="33"/>
        <v>0</v>
      </c>
      <c r="E520" s="254">
        <f t="shared" si="33"/>
        <v>0</v>
      </c>
      <c r="F520" s="254">
        <f t="shared" si="33"/>
        <v>0</v>
      </c>
      <c r="G520" s="254">
        <f t="shared" si="33"/>
        <v>0</v>
      </c>
      <c r="H520" s="359">
        <f t="shared" si="33"/>
        <v>0.05</v>
      </c>
      <c r="I520" s="254">
        <f t="shared" si="33"/>
        <v>0</v>
      </c>
      <c r="J520" s="112">
        <f t="shared" si="33"/>
        <v>1</v>
      </c>
      <c r="K520" s="254">
        <f t="shared" si="33"/>
        <v>0</v>
      </c>
      <c r="L520" s="254">
        <f t="shared" si="33"/>
        <v>0</v>
      </c>
      <c r="M520" s="254">
        <f t="shared" si="33"/>
        <v>0</v>
      </c>
      <c r="N520" s="254">
        <f t="shared" si="33"/>
        <v>0</v>
      </c>
      <c r="O520" s="254">
        <f t="shared" si="33"/>
        <v>0</v>
      </c>
      <c r="P520" s="254">
        <f t="shared" si="33"/>
        <v>0.05</v>
      </c>
      <c r="Q520" s="254">
        <f t="shared" si="33"/>
        <v>0</v>
      </c>
      <c r="R520" s="112">
        <f t="shared" si="33"/>
        <v>1</v>
      </c>
    </row>
    <row r="521" spans="1:18" ht="15.75">
      <c r="A521" s="275"/>
      <c r="B521" s="72" t="s">
        <v>470</v>
      </c>
      <c r="C521" s="256"/>
      <c r="D521" s="257">
        <f>SUM(D514:D520)</f>
        <v>40989</v>
      </c>
      <c r="E521" s="257">
        <f>SUM(E514:E520)</f>
        <v>283</v>
      </c>
      <c r="F521" s="257"/>
      <c r="G521" s="256">
        <f>G39</f>
        <v>0</v>
      </c>
      <c r="H521" s="360">
        <f>+SUM(H514:H520)</f>
        <v>147.34000000000003</v>
      </c>
      <c r="I521" s="257">
        <f>SUM(I514:I520)</f>
        <v>3.8295</v>
      </c>
      <c r="J521" s="154"/>
      <c r="K521" s="257"/>
      <c r="L521" s="257">
        <f>SUM(L514:L520)</f>
        <v>40989</v>
      </c>
      <c r="M521" s="257">
        <f>SUM(M514:M520)</f>
        <v>283</v>
      </c>
      <c r="N521" s="257"/>
      <c r="O521" s="257">
        <f>SUM(O514:O520)</f>
        <v>0</v>
      </c>
      <c r="P521" s="258">
        <f>SUM(P514:P520)</f>
        <v>158.97000000000003</v>
      </c>
      <c r="Q521" s="257">
        <f>SUM(Q514:Q520)</f>
        <v>59.73512000000001</v>
      </c>
      <c r="R521" s="252"/>
    </row>
    <row r="522" ht="12.75">
      <c r="A522" s="304"/>
    </row>
    <row r="523" ht="12.75">
      <c r="A523" s="305" t="s">
        <v>810</v>
      </c>
    </row>
    <row r="524" spans="1:2" ht="15.75">
      <c r="A524" s="306" t="s">
        <v>306</v>
      </c>
      <c r="B524" s="73"/>
    </row>
    <row r="525" spans="1:2" ht="15">
      <c r="A525" s="301"/>
      <c r="B525" s="73"/>
    </row>
    <row r="526" spans="1:2" ht="15">
      <c r="A526" s="301"/>
      <c r="B526" s="73"/>
    </row>
    <row r="527" spans="1:7" ht="15">
      <c r="A527" s="301"/>
      <c r="B527" s="73"/>
      <c r="G527" s="259"/>
    </row>
    <row r="528" spans="1:2" ht="15">
      <c r="A528" s="301"/>
      <c r="B528" s="73"/>
    </row>
    <row r="529" spans="1:18" ht="15.75">
      <c r="A529" s="307" t="s">
        <v>428</v>
      </c>
      <c r="B529" s="73"/>
      <c r="D529" s="73"/>
      <c r="E529" s="74" t="s">
        <v>434</v>
      </c>
      <c r="F529" s="73"/>
      <c r="G529" s="73"/>
      <c r="H529" s="361"/>
      <c r="I529" s="155"/>
      <c r="J529" s="73"/>
      <c r="K529" s="73"/>
      <c r="L529" s="73"/>
      <c r="M529" s="73"/>
      <c r="N529" s="73"/>
      <c r="O529" s="74"/>
      <c r="P529" s="155" t="s">
        <v>435</v>
      </c>
      <c r="Q529" s="73"/>
      <c r="R529" s="155"/>
    </row>
    <row r="530" spans="1:2" ht="15">
      <c r="A530" s="301"/>
      <c r="B530" s="73"/>
    </row>
    <row r="531" ht="12.75">
      <c r="A531" s="304"/>
    </row>
    <row r="532" ht="12.75">
      <c r="A532" s="304"/>
    </row>
    <row r="533" ht="12.75">
      <c r="A533" s="304"/>
    </row>
  </sheetData>
  <sheetProtection/>
  <mergeCells count="29">
    <mergeCell ref="A1:R1"/>
    <mergeCell ref="A2:R2"/>
    <mergeCell ref="A3:R3"/>
    <mergeCell ref="A4:R4"/>
    <mergeCell ref="C10:F10"/>
    <mergeCell ref="B9:B12"/>
    <mergeCell ref="K10:N10"/>
    <mergeCell ref="A9:A12"/>
    <mergeCell ref="C9:J9"/>
    <mergeCell ref="A5:R7"/>
    <mergeCell ref="A509:R509"/>
    <mergeCell ref="A510:A513"/>
    <mergeCell ref="B510:B513"/>
    <mergeCell ref="G10:J10"/>
    <mergeCell ref="O10:R10"/>
    <mergeCell ref="A412:A413"/>
    <mergeCell ref="A414:A415"/>
    <mergeCell ref="O511:R511"/>
    <mergeCell ref="K510:R510"/>
    <mergeCell ref="C8:R8"/>
    <mergeCell ref="K9:R9"/>
    <mergeCell ref="B50:R50"/>
    <mergeCell ref="G511:J511"/>
    <mergeCell ref="K511:N511"/>
    <mergeCell ref="C510:J510"/>
    <mergeCell ref="B430:B431"/>
    <mergeCell ref="B412:B413"/>
    <mergeCell ref="B414:B415"/>
    <mergeCell ref="C511:F511"/>
  </mergeCells>
  <printOptions horizontalCentered="1"/>
  <pageMargins left="0.25" right="0.25" top="0.75" bottom="0.75" header="0.3" footer="0.3"/>
  <pageSetup fitToHeight="9" horizontalDpi="600" verticalDpi="600" orientation="landscape" paperSize="9" scale="55" r:id="rId1"/>
  <headerFooter alignWithMargins="0">
    <oddFooter>&amp;CPage &amp;P of &amp;N</oddFooter>
  </headerFooter>
  <rowBreaks count="1" manualBreakCount="1">
    <brk id="5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shs</cp:lastModifiedBy>
  <cp:lastPrinted>2012-11-03T07:06:54Z</cp:lastPrinted>
  <dcterms:created xsi:type="dcterms:W3CDTF">2009-05-14T11:30:38Z</dcterms:created>
  <dcterms:modified xsi:type="dcterms:W3CDTF">2012-12-07T08:06:24Z</dcterms:modified>
  <cp:category/>
  <cp:version/>
  <cp:contentType/>
  <cp:contentStatus/>
</cp:coreProperties>
</file>